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2843F23B-3C82-4DF6-A212-32ADBDE30F98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foxz" sheetId="20" state="veryHidden" r:id=""/>
    <sheet name="T2-T3" sheetId="12" r:id="rId1"/>
    <sheet name="T3-T3" sheetId="15" r:id="rId2"/>
    <sheet name="T4-T3" sheetId="16" r:id="rId3"/>
    <sheet name="T5-T3" sheetId="17" r:id="rId4"/>
    <sheet name="T6-T3" sheetId="18" r:id="rId5"/>
    <sheet name="T7-T3" sheetId="19" r:id="rId6"/>
  </sheets>
  <calcPr calcId="191029"/>
</workbook>
</file>

<file path=xl/calcChain.xml><?xml version="1.0" encoding="utf-8"?>
<calcChain xmlns="http://schemas.openxmlformats.org/spreadsheetml/2006/main">
  <c r="N125" i="19" l="1"/>
  <c r="N130" i="19" s="1"/>
  <c r="C125" i="19"/>
  <c r="I125" i="19" s="1"/>
  <c r="N118" i="19"/>
  <c r="I118" i="19"/>
  <c r="C118" i="19"/>
  <c r="D118" i="19" s="1"/>
  <c r="N117" i="19"/>
  <c r="G117" i="19"/>
  <c r="C117" i="19"/>
  <c r="J117" i="19" s="1"/>
  <c r="N116" i="19"/>
  <c r="C116" i="19"/>
  <c r="J116" i="19" s="1"/>
  <c r="N115" i="19"/>
  <c r="K115" i="19"/>
  <c r="H115" i="19"/>
  <c r="F115" i="19"/>
  <c r="D115" i="19"/>
  <c r="C115" i="19"/>
  <c r="I115" i="19" s="1"/>
  <c r="N114" i="19"/>
  <c r="K114" i="19"/>
  <c r="F114" i="19"/>
  <c r="D114" i="19"/>
  <c r="C114" i="19"/>
  <c r="I114" i="19" s="1"/>
  <c r="N113" i="19"/>
  <c r="K113" i="19"/>
  <c r="D113" i="19"/>
  <c r="C113" i="19"/>
  <c r="I113" i="19" s="1"/>
  <c r="N112" i="19"/>
  <c r="C112" i="19"/>
  <c r="I112" i="19" s="1"/>
  <c r="N111" i="19"/>
  <c r="C111" i="19"/>
  <c r="H111" i="19" s="1"/>
  <c r="N110" i="19"/>
  <c r="C110" i="19"/>
  <c r="G110" i="19" s="1"/>
  <c r="N109" i="19"/>
  <c r="C109" i="19"/>
  <c r="D109" i="19" s="1"/>
  <c r="N102" i="19"/>
  <c r="I102" i="19"/>
  <c r="D102" i="19"/>
  <c r="C102" i="19"/>
  <c r="J102" i="19" s="1"/>
  <c r="N101" i="19"/>
  <c r="I101" i="19"/>
  <c r="D101" i="19"/>
  <c r="C101" i="19"/>
  <c r="J101" i="19" s="1"/>
  <c r="N100" i="19"/>
  <c r="H100" i="19"/>
  <c r="F100" i="19"/>
  <c r="D100" i="19"/>
  <c r="C100" i="19"/>
  <c r="I100" i="19" s="1"/>
  <c r="N99" i="19"/>
  <c r="K99" i="19"/>
  <c r="E99" i="19"/>
  <c r="D99" i="19"/>
  <c r="C99" i="19"/>
  <c r="I99" i="19" s="1"/>
  <c r="N98" i="19"/>
  <c r="K98" i="19"/>
  <c r="E98" i="19"/>
  <c r="D98" i="19"/>
  <c r="C98" i="19"/>
  <c r="G98" i="19" s="1"/>
  <c r="N97" i="19"/>
  <c r="D97" i="19"/>
  <c r="C97" i="19"/>
  <c r="H97" i="19" s="1"/>
  <c r="N96" i="19"/>
  <c r="D96" i="19"/>
  <c r="C96" i="19"/>
  <c r="G96" i="19" s="1"/>
  <c r="N95" i="19"/>
  <c r="C95" i="19"/>
  <c r="K95" i="19" s="1"/>
  <c r="N40" i="19"/>
  <c r="D40" i="19"/>
  <c r="C40" i="19"/>
  <c r="K40" i="19" s="1"/>
  <c r="N39" i="19"/>
  <c r="C39" i="19"/>
  <c r="E39" i="19" s="1"/>
  <c r="N38" i="19"/>
  <c r="E38" i="19"/>
  <c r="D38" i="19"/>
  <c r="C38" i="19"/>
  <c r="J38" i="19" s="1"/>
  <c r="N37" i="19"/>
  <c r="K37" i="19"/>
  <c r="D37" i="19"/>
  <c r="C37" i="19"/>
  <c r="I37" i="19" s="1"/>
  <c r="N36" i="19"/>
  <c r="C36" i="19"/>
  <c r="D36" i="19" s="1"/>
  <c r="N35" i="19"/>
  <c r="C35" i="19"/>
  <c r="D35" i="19" s="1"/>
  <c r="N34" i="19"/>
  <c r="C34" i="19"/>
  <c r="D34" i="19" s="1"/>
  <c r="N33" i="19"/>
  <c r="C33" i="19"/>
  <c r="D33" i="19" s="1"/>
  <c r="N32" i="19"/>
  <c r="C32" i="19"/>
  <c r="H32" i="19" s="1"/>
  <c r="N31" i="19"/>
  <c r="C31" i="19"/>
  <c r="D31" i="19" s="1"/>
  <c r="N30" i="19"/>
  <c r="J30" i="19"/>
  <c r="E30" i="19"/>
  <c r="D30" i="19"/>
  <c r="C30" i="19"/>
  <c r="K30" i="19" s="1"/>
  <c r="N23" i="19"/>
  <c r="F23" i="19"/>
  <c r="D23" i="19"/>
  <c r="C23" i="19"/>
  <c r="I23" i="19" s="1"/>
  <c r="N22" i="19"/>
  <c r="K22" i="19"/>
  <c r="D22" i="19"/>
  <c r="C22" i="19"/>
  <c r="I22" i="19" s="1"/>
  <c r="N21" i="19"/>
  <c r="C21" i="19"/>
  <c r="I21" i="19" s="1"/>
  <c r="N20" i="19"/>
  <c r="C20" i="19"/>
  <c r="D20" i="19" s="1"/>
  <c r="N19" i="19"/>
  <c r="D19" i="19"/>
  <c r="C19" i="19"/>
  <c r="E19" i="19" s="1"/>
  <c r="N18" i="19"/>
  <c r="C18" i="19"/>
  <c r="D18" i="19" s="1"/>
  <c r="N17" i="19"/>
  <c r="E17" i="19"/>
  <c r="C17" i="19"/>
  <c r="J17" i="19" s="1"/>
  <c r="N16" i="19"/>
  <c r="K16" i="19"/>
  <c r="F16" i="19"/>
  <c r="C16" i="19"/>
  <c r="I16" i="19" s="1"/>
  <c r="N15" i="19"/>
  <c r="G15" i="19"/>
  <c r="C15" i="19"/>
  <c r="D15" i="19" s="1"/>
  <c r="N14" i="19"/>
  <c r="D14" i="19"/>
  <c r="C14" i="19"/>
  <c r="E14" i="19" s="1"/>
  <c r="J112" i="19" l="1"/>
  <c r="D16" i="19"/>
  <c r="D25" i="19" s="1"/>
  <c r="D26" i="19" s="1"/>
  <c r="D28" i="19" s="1"/>
  <c r="J16" i="19"/>
  <c r="D17" i="19"/>
  <c r="K17" i="19"/>
  <c r="H21" i="19"/>
  <c r="J22" i="19"/>
  <c r="K23" i="19"/>
  <c r="J37" i="19"/>
  <c r="K97" i="19"/>
  <c r="N120" i="19"/>
  <c r="H112" i="19"/>
  <c r="J113" i="19"/>
  <c r="G116" i="19"/>
  <c r="H125" i="19"/>
  <c r="K116" i="19"/>
  <c r="J125" i="19"/>
  <c r="N25" i="19"/>
  <c r="N50" i="19" s="1"/>
  <c r="H16" i="19"/>
  <c r="G17" i="19"/>
  <c r="D21" i="19"/>
  <c r="K21" i="19"/>
  <c r="F22" i="19"/>
  <c r="H23" i="19"/>
  <c r="D32" i="19"/>
  <c r="F37" i="19"/>
  <c r="G38" i="19"/>
  <c r="G39" i="19"/>
  <c r="I40" i="19"/>
  <c r="J95" i="19"/>
  <c r="J134" i="19" s="1"/>
  <c r="J136" i="19" s="1"/>
  <c r="F97" i="19"/>
  <c r="N104" i="19"/>
  <c r="G99" i="19"/>
  <c r="G134" i="19" s="1"/>
  <c r="G136" i="19" s="1"/>
  <c r="D110" i="19"/>
  <c r="D111" i="19"/>
  <c r="D112" i="19"/>
  <c r="K112" i="19"/>
  <c r="F113" i="19"/>
  <c r="H114" i="19"/>
  <c r="J115" i="19"/>
  <c r="D116" i="19"/>
  <c r="D125" i="19"/>
  <c r="D130" i="19" s="1"/>
  <c r="D131" i="19" s="1"/>
  <c r="D133" i="19" s="1"/>
  <c r="K125" i="19"/>
  <c r="J21" i="19"/>
  <c r="F21" i="19"/>
  <c r="H22" i="19"/>
  <c r="J23" i="19"/>
  <c r="N46" i="19"/>
  <c r="H37" i="19"/>
  <c r="K38" i="19"/>
  <c r="J40" i="19"/>
  <c r="J97" i="19"/>
  <c r="J99" i="19"/>
  <c r="F112" i="19"/>
  <c r="H113" i="19"/>
  <c r="J114" i="19"/>
  <c r="E116" i="19"/>
  <c r="F125" i="19"/>
  <c r="H40" i="19"/>
  <c r="E95" i="19"/>
  <c r="H101" i="19"/>
  <c r="H134" i="19" s="1"/>
  <c r="H136" i="19" s="1"/>
  <c r="H102" i="19"/>
  <c r="E117" i="19"/>
  <c r="H118" i="19"/>
  <c r="K18" i="19"/>
  <c r="K19" i="19"/>
  <c r="K33" i="19"/>
  <c r="K34" i="19"/>
  <c r="K35" i="19"/>
  <c r="D39" i="19"/>
  <c r="D46" i="19" s="1"/>
  <c r="F40" i="19"/>
  <c r="D95" i="19"/>
  <c r="D104" i="19" s="1"/>
  <c r="F101" i="19"/>
  <c r="F102" i="19"/>
  <c r="D117" i="19"/>
  <c r="F118" i="19"/>
  <c r="K14" i="19"/>
  <c r="I35" i="19"/>
  <c r="K109" i="19"/>
  <c r="J18" i="19"/>
  <c r="I20" i="19"/>
  <c r="H20" i="19"/>
  <c r="H34" i="19"/>
  <c r="J19" i="19"/>
  <c r="J33" i="19"/>
  <c r="J34" i="19"/>
  <c r="J35" i="19"/>
  <c r="G18" i="19"/>
  <c r="G50" i="19" s="1"/>
  <c r="I19" i="19"/>
  <c r="I33" i="19"/>
  <c r="I34" i="19"/>
  <c r="I36" i="19"/>
  <c r="J14" i="19"/>
  <c r="E18" i="19"/>
  <c r="E50" i="19" s="1"/>
  <c r="G19" i="19"/>
  <c r="H33" i="19"/>
  <c r="H35" i="19"/>
  <c r="H36" i="19"/>
  <c r="I97" i="19"/>
  <c r="I134" i="19" s="1"/>
  <c r="I136" i="19" s="1"/>
  <c r="J98" i="19"/>
  <c r="J109" i="19"/>
  <c r="F20" i="19"/>
  <c r="G31" i="19"/>
  <c r="F33" i="19"/>
  <c r="F34" i="19"/>
  <c r="F35" i="19"/>
  <c r="F36" i="19"/>
  <c r="K39" i="19"/>
  <c r="K101" i="19"/>
  <c r="K134" i="19" s="1"/>
  <c r="K136" i="19" s="1"/>
  <c r="K102" i="19"/>
  <c r="E109" i="19"/>
  <c r="K117" i="19"/>
  <c r="J39" i="19"/>
  <c r="D120" i="19" l="1"/>
  <c r="D121" i="19" s="1"/>
  <c r="D123" i="19" s="1"/>
  <c r="F50" i="19"/>
  <c r="F52" i="19" s="1"/>
  <c r="H50" i="19"/>
  <c r="H52" i="19" s="1"/>
  <c r="F134" i="19"/>
  <c r="F136" i="19" s="1"/>
  <c r="N134" i="19"/>
  <c r="E51" i="19"/>
  <c r="E52" i="19"/>
  <c r="D47" i="19"/>
  <c r="D49" i="19" s="1"/>
  <c r="D50" i="19"/>
  <c r="D52" i="19" s="1"/>
  <c r="G52" i="19"/>
  <c r="I139" i="19"/>
  <c r="E134" i="19"/>
  <c r="J50" i="19"/>
  <c r="J52" i="19" s="1"/>
  <c r="K50" i="19"/>
  <c r="K52" i="19" s="1"/>
  <c r="D134" i="19"/>
  <c r="D136" i="19" s="1"/>
  <c r="D105" i="19"/>
  <c r="D107" i="19" s="1"/>
  <c r="G137" i="19"/>
  <c r="G135" i="19"/>
  <c r="I50" i="19"/>
  <c r="I52" i="19" s="1"/>
  <c r="I140" i="19" l="1"/>
  <c r="G51" i="19"/>
  <c r="I55" i="19"/>
  <c r="I56" i="19" s="1"/>
  <c r="E135" i="19"/>
  <c r="E136" i="19"/>
  <c r="E53" i="19"/>
  <c r="G139" i="19"/>
  <c r="G140" i="19" s="1"/>
  <c r="G53" i="19"/>
  <c r="E137" i="19" l="1"/>
  <c r="G55" i="19"/>
  <c r="G56" i="19" s="1"/>
  <c r="E55" i="19"/>
  <c r="E139" i="19" l="1"/>
  <c r="E56" i="19"/>
  <c r="E140" i="19" l="1"/>
  <c r="N134" i="18" l="1"/>
  <c r="C134" i="18"/>
  <c r="I134" i="18" s="1"/>
  <c r="N133" i="18"/>
  <c r="C133" i="18"/>
  <c r="K133" i="18" s="1"/>
  <c r="N132" i="18"/>
  <c r="C132" i="18"/>
  <c r="J132" i="18" s="1"/>
  <c r="N131" i="18"/>
  <c r="I131" i="18"/>
  <c r="C131" i="18"/>
  <c r="F131" i="18" s="1"/>
  <c r="N130" i="18"/>
  <c r="H130" i="18"/>
  <c r="C130" i="18"/>
  <c r="K130" i="18" s="1"/>
  <c r="N123" i="18"/>
  <c r="C123" i="18"/>
  <c r="I123" i="18" s="1"/>
  <c r="N122" i="18"/>
  <c r="C122" i="18"/>
  <c r="I122" i="18" s="1"/>
  <c r="N121" i="18"/>
  <c r="C121" i="18"/>
  <c r="I121" i="18" s="1"/>
  <c r="N120" i="18"/>
  <c r="C120" i="18"/>
  <c r="I120" i="18" s="1"/>
  <c r="N119" i="18"/>
  <c r="K119" i="18"/>
  <c r="G119" i="18"/>
  <c r="E119" i="18"/>
  <c r="D119" i="18"/>
  <c r="C119" i="18"/>
  <c r="J119" i="18" s="1"/>
  <c r="N118" i="18"/>
  <c r="K118" i="18"/>
  <c r="J118" i="18"/>
  <c r="H118" i="18"/>
  <c r="F118" i="18"/>
  <c r="D118" i="18"/>
  <c r="C118" i="18"/>
  <c r="I118" i="18" s="1"/>
  <c r="N117" i="18"/>
  <c r="G117" i="18"/>
  <c r="D117" i="18"/>
  <c r="C117" i="18"/>
  <c r="N116" i="18"/>
  <c r="D116" i="18"/>
  <c r="C116" i="18"/>
  <c r="E116" i="18" s="1"/>
  <c r="N109" i="18"/>
  <c r="H109" i="18"/>
  <c r="F109" i="18"/>
  <c r="D109" i="18"/>
  <c r="C109" i="18"/>
  <c r="I109" i="18" s="1"/>
  <c r="N108" i="18"/>
  <c r="F108" i="18"/>
  <c r="D108" i="18"/>
  <c r="C108" i="18"/>
  <c r="I108" i="18" s="1"/>
  <c r="N107" i="18"/>
  <c r="F107" i="18"/>
  <c r="C107" i="18"/>
  <c r="K107" i="18" s="1"/>
  <c r="N106" i="18"/>
  <c r="F106" i="18"/>
  <c r="C106" i="18"/>
  <c r="K106" i="18" s="1"/>
  <c r="N105" i="18"/>
  <c r="D105" i="18"/>
  <c r="C105" i="18"/>
  <c r="K105" i="18" s="1"/>
  <c r="N104" i="18"/>
  <c r="C104" i="18"/>
  <c r="J104" i="18" s="1"/>
  <c r="N103" i="18"/>
  <c r="C103" i="18"/>
  <c r="I103" i="18" s="1"/>
  <c r="N102" i="18"/>
  <c r="H102" i="18"/>
  <c r="D102" i="18"/>
  <c r="C102" i="18"/>
  <c r="N101" i="18"/>
  <c r="C101" i="18"/>
  <c r="D101" i="18" s="1"/>
  <c r="N100" i="18"/>
  <c r="N111" i="18" s="1"/>
  <c r="E100" i="18"/>
  <c r="D100" i="18"/>
  <c r="C100" i="18"/>
  <c r="K100" i="18" s="1"/>
  <c r="N44" i="18"/>
  <c r="I44" i="18"/>
  <c r="F44" i="18"/>
  <c r="D44" i="18"/>
  <c r="C44" i="18"/>
  <c r="N43" i="18"/>
  <c r="G43" i="18"/>
  <c r="C43" i="18"/>
  <c r="J43" i="18" s="1"/>
  <c r="N42" i="18"/>
  <c r="C42" i="18"/>
  <c r="G42" i="18" s="1"/>
  <c r="N41" i="18"/>
  <c r="C41" i="18"/>
  <c r="K41" i="18" s="1"/>
  <c r="N40" i="18"/>
  <c r="C40" i="18"/>
  <c r="K40" i="18" s="1"/>
  <c r="N39" i="18"/>
  <c r="C39" i="18"/>
  <c r="I39" i="18" s="1"/>
  <c r="N38" i="18"/>
  <c r="C38" i="18"/>
  <c r="H38" i="18" s="1"/>
  <c r="N37" i="18"/>
  <c r="H37" i="18"/>
  <c r="F37" i="18"/>
  <c r="C37" i="18"/>
  <c r="D37" i="18" s="1"/>
  <c r="N36" i="18"/>
  <c r="C36" i="18"/>
  <c r="G36" i="18" s="1"/>
  <c r="N35" i="18"/>
  <c r="C35" i="18"/>
  <c r="J35" i="18" s="1"/>
  <c r="N34" i="18"/>
  <c r="D34" i="18"/>
  <c r="C34" i="18"/>
  <c r="J34" i="18" s="1"/>
  <c r="N33" i="18"/>
  <c r="C33" i="18"/>
  <c r="J33" i="18" s="1"/>
  <c r="N25" i="18"/>
  <c r="C25" i="18"/>
  <c r="F25" i="18" s="1"/>
  <c r="N24" i="18"/>
  <c r="C24" i="18"/>
  <c r="J24" i="18" s="1"/>
  <c r="N23" i="18"/>
  <c r="C23" i="18"/>
  <c r="I23" i="18" s="1"/>
  <c r="N22" i="18"/>
  <c r="C22" i="18"/>
  <c r="I22" i="18" s="1"/>
  <c r="N21" i="18"/>
  <c r="C21" i="18"/>
  <c r="I21" i="18" s="1"/>
  <c r="N20" i="18"/>
  <c r="K20" i="18"/>
  <c r="G20" i="18"/>
  <c r="E20" i="18"/>
  <c r="D20" i="18"/>
  <c r="C20" i="18"/>
  <c r="J20" i="18" s="1"/>
  <c r="N19" i="18"/>
  <c r="K19" i="18"/>
  <c r="E19" i="18"/>
  <c r="D19" i="18"/>
  <c r="C19" i="18"/>
  <c r="J19" i="18" s="1"/>
  <c r="N18" i="18"/>
  <c r="K18" i="18"/>
  <c r="J18" i="18"/>
  <c r="F18" i="18"/>
  <c r="D18" i="18"/>
  <c r="C18" i="18"/>
  <c r="I18" i="18" s="1"/>
  <c r="N17" i="18"/>
  <c r="H17" i="18"/>
  <c r="D17" i="18"/>
  <c r="C17" i="18"/>
  <c r="N16" i="18"/>
  <c r="C16" i="18"/>
  <c r="K16" i="18" s="1"/>
  <c r="N126" i="17"/>
  <c r="N131" i="17" s="1"/>
  <c r="F126" i="17"/>
  <c r="D126" i="17"/>
  <c r="D131" i="17" s="1"/>
  <c r="D132" i="17" s="1"/>
  <c r="D134" i="17" s="1"/>
  <c r="C126" i="17"/>
  <c r="J126" i="17" s="1"/>
  <c r="N119" i="17"/>
  <c r="C119" i="17"/>
  <c r="J119" i="17" s="1"/>
  <c r="N118" i="17"/>
  <c r="C118" i="17"/>
  <c r="F118" i="17" s="1"/>
  <c r="N117" i="17"/>
  <c r="F117" i="17"/>
  <c r="D117" i="17"/>
  <c r="C117" i="17"/>
  <c r="J117" i="17" s="1"/>
  <c r="N116" i="17"/>
  <c r="C116" i="17"/>
  <c r="I116" i="17" s="1"/>
  <c r="N115" i="17"/>
  <c r="H115" i="17"/>
  <c r="C115" i="17"/>
  <c r="I115" i="17" s="1"/>
  <c r="N114" i="17"/>
  <c r="C114" i="17"/>
  <c r="H114" i="17" s="1"/>
  <c r="N113" i="17"/>
  <c r="N121" i="17" s="1"/>
  <c r="C113" i="17"/>
  <c r="G113" i="17" s="1"/>
  <c r="N112" i="17"/>
  <c r="C112" i="17"/>
  <c r="E112" i="17" s="1"/>
  <c r="N105" i="17"/>
  <c r="F105" i="17"/>
  <c r="D105" i="17"/>
  <c r="C105" i="17"/>
  <c r="I105" i="17" s="1"/>
  <c r="N104" i="17"/>
  <c r="C104" i="17"/>
  <c r="I104" i="17" s="1"/>
  <c r="N103" i="17"/>
  <c r="H103" i="17"/>
  <c r="C103" i="17"/>
  <c r="I103" i="17" s="1"/>
  <c r="N102" i="17"/>
  <c r="C102" i="17"/>
  <c r="D102" i="17" s="1"/>
  <c r="N101" i="17"/>
  <c r="C101" i="17"/>
  <c r="K101" i="17" s="1"/>
  <c r="N100" i="17"/>
  <c r="K100" i="17"/>
  <c r="G100" i="17"/>
  <c r="E100" i="17"/>
  <c r="D100" i="17"/>
  <c r="C100" i="17"/>
  <c r="J100" i="17" s="1"/>
  <c r="N99" i="17"/>
  <c r="K99" i="17"/>
  <c r="J99" i="17"/>
  <c r="H99" i="17"/>
  <c r="F99" i="17"/>
  <c r="D99" i="17"/>
  <c r="C99" i="17"/>
  <c r="I99" i="17" s="1"/>
  <c r="N98" i="17"/>
  <c r="G98" i="17"/>
  <c r="D98" i="17"/>
  <c r="C98" i="17"/>
  <c r="N97" i="17"/>
  <c r="K97" i="17"/>
  <c r="C97" i="17"/>
  <c r="E97" i="17" s="1"/>
  <c r="N40" i="17"/>
  <c r="C40" i="17"/>
  <c r="D40" i="17" s="1"/>
  <c r="N39" i="17"/>
  <c r="G39" i="17"/>
  <c r="D39" i="17"/>
  <c r="C39" i="17"/>
  <c r="E39" i="17" s="1"/>
  <c r="N38" i="17"/>
  <c r="H38" i="17"/>
  <c r="F38" i="17"/>
  <c r="D38" i="17"/>
  <c r="C38" i="17"/>
  <c r="I38" i="17" s="1"/>
  <c r="N37" i="17"/>
  <c r="C37" i="17"/>
  <c r="I37" i="17" s="1"/>
  <c r="N36" i="17"/>
  <c r="C36" i="17"/>
  <c r="H36" i="17" s="1"/>
  <c r="N35" i="17"/>
  <c r="C35" i="17"/>
  <c r="D35" i="17" s="1"/>
  <c r="N34" i="17"/>
  <c r="C34" i="17"/>
  <c r="H34" i="17" s="1"/>
  <c r="N33" i="17"/>
  <c r="E33" i="17"/>
  <c r="D33" i="17"/>
  <c r="C33" i="17"/>
  <c r="K33" i="17" s="1"/>
  <c r="N26" i="17"/>
  <c r="C26" i="17"/>
  <c r="I26" i="17" s="1"/>
  <c r="N25" i="17"/>
  <c r="J25" i="17"/>
  <c r="C25" i="17"/>
  <c r="F25" i="17" s="1"/>
  <c r="N24" i="17"/>
  <c r="I24" i="17"/>
  <c r="C24" i="17"/>
  <c r="H24" i="17" s="1"/>
  <c r="N23" i="17"/>
  <c r="C23" i="17"/>
  <c r="H23" i="17" s="1"/>
  <c r="N22" i="17"/>
  <c r="G22" i="17"/>
  <c r="E22" i="17"/>
  <c r="D22" i="17"/>
  <c r="C22" i="17"/>
  <c r="J22" i="17" s="1"/>
  <c r="N21" i="17"/>
  <c r="K21" i="17"/>
  <c r="E21" i="17"/>
  <c r="D21" i="17"/>
  <c r="C21" i="17"/>
  <c r="I21" i="17" s="1"/>
  <c r="N20" i="17"/>
  <c r="C20" i="17"/>
  <c r="D20" i="17" s="1"/>
  <c r="N19" i="17"/>
  <c r="K19" i="17"/>
  <c r="G19" i="17"/>
  <c r="E19" i="17"/>
  <c r="D19" i="17"/>
  <c r="C19" i="17"/>
  <c r="J19" i="17" s="1"/>
  <c r="N18" i="17"/>
  <c r="K18" i="17"/>
  <c r="J18" i="17"/>
  <c r="H18" i="17"/>
  <c r="F18" i="17"/>
  <c r="D18" i="17"/>
  <c r="C18" i="17"/>
  <c r="I18" i="17" s="1"/>
  <c r="N17" i="17"/>
  <c r="G17" i="17"/>
  <c r="D17" i="17"/>
  <c r="C17" i="17"/>
  <c r="N16" i="17"/>
  <c r="K16" i="17"/>
  <c r="C16" i="17"/>
  <c r="E16" i="17" s="1"/>
  <c r="D112" i="16"/>
  <c r="N129" i="16"/>
  <c r="N124" i="16"/>
  <c r="J124" i="16"/>
  <c r="D124" i="16"/>
  <c r="D129" i="16" s="1"/>
  <c r="D130" i="16" s="1"/>
  <c r="D132" i="16" s="1"/>
  <c r="C124" i="16"/>
  <c r="I124" i="16" s="1"/>
  <c r="N117" i="16"/>
  <c r="J117" i="16"/>
  <c r="D117" i="16"/>
  <c r="C117" i="16"/>
  <c r="E117" i="16" s="1"/>
  <c r="N116" i="16"/>
  <c r="C116" i="16"/>
  <c r="D116" i="16" s="1"/>
  <c r="N115" i="16"/>
  <c r="I115" i="16"/>
  <c r="F115" i="16"/>
  <c r="D115" i="16"/>
  <c r="C115" i="16"/>
  <c r="J115" i="16" s="1"/>
  <c r="N114" i="16"/>
  <c r="K114" i="16"/>
  <c r="F114" i="16"/>
  <c r="D114" i="16"/>
  <c r="C114" i="16"/>
  <c r="I114" i="16" s="1"/>
  <c r="N113" i="16"/>
  <c r="C113" i="16"/>
  <c r="H113" i="16" s="1"/>
  <c r="N112" i="16"/>
  <c r="C112" i="16"/>
  <c r="H112" i="16" s="1"/>
  <c r="N111" i="16"/>
  <c r="C111" i="16"/>
  <c r="G111" i="16" s="1"/>
  <c r="N110" i="16"/>
  <c r="E110" i="16"/>
  <c r="D110" i="16"/>
  <c r="C110" i="16"/>
  <c r="K110" i="16" s="1"/>
  <c r="N103" i="16"/>
  <c r="I103" i="16"/>
  <c r="D103" i="16"/>
  <c r="C103" i="16"/>
  <c r="F103" i="16" s="1"/>
  <c r="N102" i="16"/>
  <c r="I102" i="16"/>
  <c r="D102" i="16"/>
  <c r="C102" i="16"/>
  <c r="F102" i="16" s="1"/>
  <c r="N101" i="16"/>
  <c r="C101" i="16"/>
  <c r="D101" i="16" s="1"/>
  <c r="N100" i="16"/>
  <c r="G100" i="16"/>
  <c r="E100" i="16"/>
  <c r="D100" i="16"/>
  <c r="C100" i="16"/>
  <c r="J100" i="16" s="1"/>
  <c r="N99" i="16"/>
  <c r="K99" i="16"/>
  <c r="E99" i="16"/>
  <c r="D99" i="16"/>
  <c r="C99" i="16"/>
  <c r="I99" i="16" s="1"/>
  <c r="N98" i="16"/>
  <c r="C98" i="16"/>
  <c r="I98" i="16" s="1"/>
  <c r="N97" i="16"/>
  <c r="H97" i="16"/>
  <c r="C97" i="16"/>
  <c r="I97" i="16" s="1"/>
  <c r="N96" i="16"/>
  <c r="H96" i="16"/>
  <c r="F96" i="16"/>
  <c r="C96" i="16"/>
  <c r="I96" i="16" s="1"/>
  <c r="N95" i="16"/>
  <c r="H95" i="16"/>
  <c r="D95" i="16"/>
  <c r="C95" i="16"/>
  <c r="N94" i="16"/>
  <c r="G94" i="16"/>
  <c r="D94" i="16"/>
  <c r="C94" i="16"/>
  <c r="N93" i="16"/>
  <c r="C93" i="16"/>
  <c r="J93" i="16" s="1"/>
  <c r="N41" i="16"/>
  <c r="C41" i="16"/>
  <c r="F41" i="16" s="1"/>
  <c r="N40" i="16"/>
  <c r="I40" i="16"/>
  <c r="C40" i="16"/>
  <c r="D40" i="16" s="1"/>
  <c r="N39" i="16"/>
  <c r="D39" i="16"/>
  <c r="C39" i="16"/>
  <c r="I39" i="16" s="1"/>
  <c r="N38" i="16"/>
  <c r="C38" i="16"/>
  <c r="G38" i="16" s="1"/>
  <c r="N37" i="16"/>
  <c r="D37" i="16"/>
  <c r="C37" i="16"/>
  <c r="H37" i="16" s="1"/>
  <c r="N36" i="16"/>
  <c r="J36" i="16"/>
  <c r="C36" i="16"/>
  <c r="K36" i="16" s="1"/>
  <c r="N35" i="16"/>
  <c r="H35" i="16"/>
  <c r="F35" i="16"/>
  <c r="D35" i="16"/>
  <c r="C35" i="16"/>
  <c r="I35" i="16" s="1"/>
  <c r="N34" i="16"/>
  <c r="K34" i="16"/>
  <c r="F34" i="16"/>
  <c r="D34" i="16"/>
  <c r="C34" i="16"/>
  <c r="J34" i="16" s="1"/>
  <c r="N27" i="16"/>
  <c r="I27" i="16"/>
  <c r="D27" i="16"/>
  <c r="C27" i="16"/>
  <c r="F27" i="16" s="1"/>
  <c r="N26" i="16"/>
  <c r="I26" i="16"/>
  <c r="D26" i="16"/>
  <c r="C26" i="16"/>
  <c r="F26" i="16" s="1"/>
  <c r="N25" i="16"/>
  <c r="I25" i="16"/>
  <c r="D25" i="16"/>
  <c r="C25" i="16"/>
  <c r="F25" i="16" s="1"/>
  <c r="N24" i="16"/>
  <c r="C24" i="16"/>
  <c r="D24" i="16" s="1"/>
  <c r="N23" i="16"/>
  <c r="G23" i="16"/>
  <c r="E23" i="16"/>
  <c r="D23" i="16"/>
  <c r="C23" i="16"/>
  <c r="J23" i="16" s="1"/>
  <c r="N22" i="16"/>
  <c r="K22" i="16"/>
  <c r="E22" i="16"/>
  <c r="D22" i="16"/>
  <c r="C22" i="16"/>
  <c r="I22" i="16" s="1"/>
  <c r="N21" i="16"/>
  <c r="C21" i="16"/>
  <c r="H21" i="16" s="1"/>
  <c r="N20" i="16"/>
  <c r="H20" i="16"/>
  <c r="C20" i="16"/>
  <c r="I20" i="16" s="1"/>
  <c r="N19" i="16"/>
  <c r="K19" i="16"/>
  <c r="H19" i="16"/>
  <c r="F19" i="16"/>
  <c r="D19" i="16"/>
  <c r="C19" i="16"/>
  <c r="I19" i="16" s="1"/>
  <c r="N18" i="16"/>
  <c r="G18" i="16"/>
  <c r="D18" i="16"/>
  <c r="C18" i="16"/>
  <c r="N17" i="16"/>
  <c r="K17" i="16"/>
  <c r="C17" i="16"/>
  <c r="E17" i="16" s="1"/>
  <c r="J98" i="16" l="1"/>
  <c r="J116" i="17"/>
  <c r="K33" i="18"/>
  <c r="N28" i="16"/>
  <c r="D21" i="16"/>
  <c r="G24" i="16"/>
  <c r="N46" i="16"/>
  <c r="D98" i="16"/>
  <c r="J34" i="17"/>
  <c r="N107" i="17"/>
  <c r="J103" i="17"/>
  <c r="D104" i="17"/>
  <c r="K104" i="17"/>
  <c r="D112" i="17"/>
  <c r="J115" i="17"/>
  <c r="D116" i="17"/>
  <c r="K116" i="17"/>
  <c r="D119" i="17"/>
  <c r="N27" i="18"/>
  <c r="N53" i="18" s="1"/>
  <c r="D33" i="18"/>
  <c r="N49" i="18"/>
  <c r="D36" i="18"/>
  <c r="D38" i="18"/>
  <c r="D49" i="18" s="1"/>
  <c r="D50" i="18" s="1"/>
  <c r="D52" i="18" s="1"/>
  <c r="J38" i="18"/>
  <c r="D39" i="18"/>
  <c r="N125" i="18"/>
  <c r="I130" i="18"/>
  <c r="N139" i="18"/>
  <c r="D134" i="18"/>
  <c r="J21" i="16"/>
  <c r="J104" i="17"/>
  <c r="J97" i="16"/>
  <c r="K98" i="16"/>
  <c r="D111" i="16"/>
  <c r="G116" i="16"/>
  <c r="G133" i="16" s="1"/>
  <c r="N28" i="17"/>
  <c r="D17" i="16"/>
  <c r="J19" i="16"/>
  <c r="D20" i="16"/>
  <c r="K20" i="16"/>
  <c r="F21" i="16"/>
  <c r="G22" i="16"/>
  <c r="G50" i="16" s="1"/>
  <c r="K23" i="16"/>
  <c r="H34" i="16"/>
  <c r="J35" i="16"/>
  <c r="D36" i="16"/>
  <c r="D41" i="16"/>
  <c r="N105" i="16"/>
  <c r="J96" i="16"/>
  <c r="D97" i="16"/>
  <c r="K97" i="16"/>
  <c r="F98" i="16"/>
  <c r="G99" i="16"/>
  <c r="K100" i="16"/>
  <c r="J110" i="16"/>
  <c r="N119" i="16"/>
  <c r="H114" i="16"/>
  <c r="K115" i="16"/>
  <c r="K124" i="16"/>
  <c r="I34" i="16"/>
  <c r="D16" i="17"/>
  <c r="G21" i="17"/>
  <c r="K22" i="17"/>
  <c r="K50" i="17" s="1"/>
  <c r="K52" i="17" s="1"/>
  <c r="J33" i="17"/>
  <c r="D36" i="17"/>
  <c r="J39" i="17"/>
  <c r="F40" i="17"/>
  <c r="D97" i="17"/>
  <c r="D103" i="17"/>
  <c r="K103" i="17"/>
  <c r="F104" i="17"/>
  <c r="H105" i="17"/>
  <c r="J112" i="17"/>
  <c r="D113" i="17"/>
  <c r="D114" i="17"/>
  <c r="D115" i="17"/>
  <c r="K115" i="17"/>
  <c r="F116" i="17"/>
  <c r="I117" i="17"/>
  <c r="I118" i="17"/>
  <c r="I126" i="17"/>
  <c r="H18" i="18"/>
  <c r="G19" i="18"/>
  <c r="G53" i="18" s="1"/>
  <c r="G55" i="18" s="1"/>
  <c r="D25" i="18"/>
  <c r="E33" i="18"/>
  <c r="D35" i="18"/>
  <c r="I37" i="18"/>
  <c r="F38" i="18"/>
  <c r="K38" i="18"/>
  <c r="F39" i="18"/>
  <c r="D40" i="18"/>
  <c r="D41" i="18"/>
  <c r="D42" i="18"/>
  <c r="D43" i="18"/>
  <c r="J100" i="18"/>
  <c r="D130" i="18"/>
  <c r="J130" i="18"/>
  <c r="D131" i="18"/>
  <c r="D133" i="18"/>
  <c r="F134" i="18"/>
  <c r="I38" i="18"/>
  <c r="J20" i="16"/>
  <c r="K21" i="16"/>
  <c r="G101" i="16"/>
  <c r="I21" i="16"/>
  <c r="I23" i="17"/>
  <c r="J17" i="16"/>
  <c r="F20" i="16"/>
  <c r="J22" i="16"/>
  <c r="K35" i="16"/>
  <c r="E36" i="16"/>
  <c r="I41" i="16"/>
  <c r="K96" i="16"/>
  <c r="F97" i="16"/>
  <c r="H98" i="16"/>
  <c r="J99" i="16"/>
  <c r="J114" i="16"/>
  <c r="D96" i="16"/>
  <c r="J16" i="17"/>
  <c r="J21" i="17"/>
  <c r="N46" i="17"/>
  <c r="K39" i="17"/>
  <c r="J40" i="17"/>
  <c r="J97" i="17"/>
  <c r="F103" i="17"/>
  <c r="H104" i="17"/>
  <c r="K112" i="17"/>
  <c r="F115" i="17"/>
  <c r="H116" i="17"/>
  <c r="K117" i="17"/>
  <c r="F40" i="18"/>
  <c r="F41" i="18"/>
  <c r="E42" i="18"/>
  <c r="E43" i="18"/>
  <c r="D106" i="18"/>
  <c r="D107" i="18"/>
  <c r="F130" i="18"/>
  <c r="D132" i="18"/>
  <c r="N143" i="18"/>
  <c r="K22" i="18"/>
  <c r="K120" i="18"/>
  <c r="K122" i="18"/>
  <c r="J22" i="18"/>
  <c r="K24" i="18"/>
  <c r="K35" i="18"/>
  <c r="J103" i="18"/>
  <c r="J122" i="18"/>
  <c r="J16" i="18"/>
  <c r="H21" i="18"/>
  <c r="H22" i="18"/>
  <c r="H23" i="18"/>
  <c r="I24" i="18"/>
  <c r="I25" i="18"/>
  <c r="I34" i="18"/>
  <c r="I35" i="18"/>
  <c r="J40" i="18"/>
  <c r="J41" i="18"/>
  <c r="K42" i="18"/>
  <c r="H103" i="18"/>
  <c r="G104" i="18"/>
  <c r="J105" i="18"/>
  <c r="J106" i="18"/>
  <c r="J107" i="18"/>
  <c r="K108" i="18"/>
  <c r="K116" i="18"/>
  <c r="G120" i="18"/>
  <c r="H121" i="18"/>
  <c r="H122" i="18"/>
  <c r="H123" i="18"/>
  <c r="I132" i="18"/>
  <c r="J133" i="18"/>
  <c r="E16" i="18"/>
  <c r="E53" i="18" s="1"/>
  <c r="F21" i="18"/>
  <c r="F22" i="18"/>
  <c r="F23" i="18"/>
  <c r="F24" i="18"/>
  <c r="H25" i="18"/>
  <c r="H34" i="18"/>
  <c r="H35" i="18"/>
  <c r="I40" i="18"/>
  <c r="I41" i="18"/>
  <c r="J42" i="18"/>
  <c r="K43" i="18"/>
  <c r="G101" i="18"/>
  <c r="F103" i="18"/>
  <c r="E104" i="18"/>
  <c r="G105" i="18"/>
  <c r="I106" i="18"/>
  <c r="I143" i="18" s="1"/>
  <c r="I145" i="18" s="1"/>
  <c r="I107" i="18"/>
  <c r="J108" i="18"/>
  <c r="J116" i="18"/>
  <c r="E120" i="18"/>
  <c r="F121" i="18"/>
  <c r="F122" i="18"/>
  <c r="F123" i="18"/>
  <c r="H132" i="18"/>
  <c r="G133" i="18"/>
  <c r="D16" i="18"/>
  <c r="D21" i="18"/>
  <c r="D22" i="18"/>
  <c r="D23" i="18"/>
  <c r="D24" i="18"/>
  <c r="F34" i="18"/>
  <c r="F35" i="18"/>
  <c r="H40" i="18"/>
  <c r="H41" i="18"/>
  <c r="D103" i="18"/>
  <c r="D104" i="18"/>
  <c r="D111" i="18" s="1"/>
  <c r="E105" i="18"/>
  <c r="H106" i="18"/>
  <c r="H107" i="18"/>
  <c r="D120" i="18"/>
  <c r="D125" i="18" s="1"/>
  <c r="D126" i="18" s="1"/>
  <c r="D128" i="18" s="1"/>
  <c r="D121" i="18"/>
  <c r="D122" i="18"/>
  <c r="D123" i="18"/>
  <c r="F132" i="18"/>
  <c r="E133" i="18"/>
  <c r="K21" i="18"/>
  <c r="K23" i="18"/>
  <c r="K103" i="18"/>
  <c r="K143" i="18" s="1"/>
  <c r="K145" i="18" s="1"/>
  <c r="K121" i="18"/>
  <c r="J21" i="18"/>
  <c r="J23" i="18"/>
  <c r="K34" i="18"/>
  <c r="K104" i="18"/>
  <c r="J120" i="18"/>
  <c r="J121" i="18"/>
  <c r="K132" i="18"/>
  <c r="N50" i="17"/>
  <c r="N135" i="17"/>
  <c r="F135" i="17"/>
  <c r="F137" i="17" s="1"/>
  <c r="F23" i="17"/>
  <c r="F24" i="17"/>
  <c r="H26" i="17"/>
  <c r="H37" i="17"/>
  <c r="H50" i="17" s="1"/>
  <c r="H52" i="17" s="1"/>
  <c r="D23" i="17"/>
  <c r="D24" i="17"/>
  <c r="D25" i="17"/>
  <c r="F26" i="17"/>
  <c r="F34" i="17"/>
  <c r="G35" i="17"/>
  <c r="F37" i="17"/>
  <c r="J101" i="17"/>
  <c r="D118" i="17"/>
  <c r="G119" i="17"/>
  <c r="D26" i="17"/>
  <c r="D34" i="17"/>
  <c r="D46" i="17" s="1"/>
  <c r="D47" i="17" s="1"/>
  <c r="D49" i="17" s="1"/>
  <c r="D37" i="17"/>
  <c r="I101" i="17"/>
  <c r="I135" i="17" s="1"/>
  <c r="I137" i="17" s="1"/>
  <c r="E119" i="17"/>
  <c r="G101" i="17"/>
  <c r="G102" i="17"/>
  <c r="E20" i="17"/>
  <c r="E50" i="17" s="1"/>
  <c r="K24" i="17"/>
  <c r="E101" i="17"/>
  <c r="E135" i="17" s="1"/>
  <c r="G20" i="17"/>
  <c r="K23" i="17"/>
  <c r="E102" i="17"/>
  <c r="J23" i="17"/>
  <c r="J50" i="17" s="1"/>
  <c r="J52" i="17" s="1"/>
  <c r="J24" i="17"/>
  <c r="K25" i="17"/>
  <c r="K34" i="17"/>
  <c r="I40" i="17"/>
  <c r="D101" i="17"/>
  <c r="D107" i="17" s="1"/>
  <c r="I25" i="17"/>
  <c r="I50" i="17" s="1"/>
  <c r="I52" i="17" s="1"/>
  <c r="I34" i="17"/>
  <c r="H118" i="17"/>
  <c r="K119" i="17"/>
  <c r="D28" i="16"/>
  <c r="I50" i="16"/>
  <c r="I52" i="16" s="1"/>
  <c r="N133" i="16"/>
  <c r="N50" i="16"/>
  <c r="K38" i="16"/>
  <c r="K93" i="16"/>
  <c r="I112" i="16"/>
  <c r="K24" i="16"/>
  <c r="K25" i="16"/>
  <c r="K26" i="16"/>
  <c r="E38" i="16"/>
  <c r="H39" i="16"/>
  <c r="K40" i="16"/>
  <c r="K41" i="16"/>
  <c r="E93" i="16"/>
  <c r="K101" i="16"/>
  <c r="K102" i="16"/>
  <c r="F112" i="16"/>
  <c r="F133" i="16" s="1"/>
  <c r="F135" i="16" s="1"/>
  <c r="F113" i="16"/>
  <c r="K116" i="16"/>
  <c r="H124" i="16"/>
  <c r="J24" i="16"/>
  <c r="J50" i="16" s="1"/>
  <c r="J52" i="16" s="1"/>
  <c r="J25" i="16"/>
  <c r="J26" i="16"/>
  <c r="D38" i="16"/>
  <c r="F39" i="16"/>
  <c r="F50" i="16" s="1"/>
  <c r="F52" i="16" s="1"/>
  <c r="J40" i="16"/>
  <c r="J41" i="16"/>
  <c r="D93" i="16"/>
  <c r="J101" i="16"/>
  <c r="J133" i="16" s="1"/>
  <c r="J135" i="16" s="1"/>
  <c r="J102" i="16"/>
  <c r="D113" i="16"/>
  <c r="D119" i="16" s="1"/>
  <c r="D120" i="16" s="1"/>
  <c r="D122" i="16" s="1"/>
  <c r="J116" i="16"/>
  <c r="K117" i="16"/>
  <c r="F124" i="16"/>
  <c r="E24" i="16"/>
  <c r="E50" i="16" s="1"/>
  <c r="H25" i="16"/>
  <c r="H26" i="16"/>
  <c r="H27" i="16"/>
  <c r="F40" i="16"/>
  <c r="H41" i="16"/>
  <c r="E101" i="16"/>
  <c r="H102" i="16"/>
  <c r="H103" i="16"/>
  <c r="H133" i="16" s="1"/>
  <c r="H135" i="16" s="1"/>
  <c r="E116" i="16"/>
  <c r="G117" i="16"/>
  <c r="K112" i="16"/>
  <c r="J112" i="16"/>
  <c r="J38" i="16"/>
  <c r="I113" i="16"/>
  <c r="G52" i="16" l="1"/>
  <c r="H50" i="16"/>
  <c r="H52" i="16" s="1"/>
  <c r="D105" i="16"/>
  <c r="D106" i="16" s="1"/>
  <c r="D108" i="16" s="1"/>
  <c r="D46" i="16"/>
  <c r="D47" i="16" s="1"/>
  <c r="D49" i="16" s="1"/>
  <c r="K50" i="16"/>
  <c r="K52" i="16" s="1"/>
  <c r="K135" i="17"/>
  <c r="K137" i="17" s="1"/>
  <c r="G50" i="17"/>
  <c r="G51" i="17" s="1"/>
  <c r="D121" i="17"/>
  <c r="D122" i="17" s="1"/>
  <c r="D124" i="17" s="1"/>
  <c r="D28" i="17"/>
  <c r="F50" i="17"/>
  <c r="F52" i="17" s="1"/>
  <c r="H143" i="18"/>
  <c r="H145" i="18" s="1"/>
  <c r="H135" i="17"/>
  <c r="H137" i="17" s="1"/>
  <c r="G135" i="17"/>
  <c r="J135" i="17"/>
  <c r="J137" i="17" s="1"/>
  <c r="K53" i="18"/>
  <c r="K55" i="18" s="1"/>
  <c r="J143" i="18"/>
  <c r="J145" i="18" s="1"/>
  <c r="I133" i="16"/>
  <c r="I135" i="16" s="1"/>
  <c r="I53" i="18"/>
  <c r="I55" i="18" s="1"/>
  <c r="I58" i="18" s="1"/>
  <c r="F53" i="18"/>
  <c r="F55" i="18" s="1"/>
  <c r="H53" i="18"/>
  <c r="D139" i="18"/>
  <c r="D140" i="18" s="1"/>
  <c r="D142" i="18" s="1"/>
  <c r="D112" i="18"/>
  <c r="D114" i="18" s="1"/>
  <c r="D143" i="18"/>
  <c r="D145" i="18" s="1"/>
  <c r="I148" i="18"/>
  <c r="H55" i="18"/>
  <c r="G56" i="18" s="1"/>
  <c r="G54" i="18"/>
  <c r="D27" i="18"/>
  <c r="G143" i="18"/>
  <c r="F143" i="18"/>
  <c r="F145" i="18" s="1"/>
  <c r="E143" i="18"/>
  <c r="E55" i="18"/>
  <c r="J53" i="18"/>
  <c r="J55" i="18" s="1"/>
  <c r="E137" i="17"/>
  <c r="E136" i="17"/>
  <c r="I55" i="17"/>
  <c r="G137" i="17"/>
  <c r="G136" i="17"/>
  <c r="D29" i="17"/>
  <c r="D31" i="17" s="1"/>
  <c r="D50" i="17"/>
  <c r="D52" i="17" s="1"/>
  <c r="D135" i="17"/>
  <c r="D137" i="17" s="1"/>
  <c r="D108" i="17"/>
  <c r="D110" i="17" s="1"/>
  <c r="E51" i="17"/>
  <c r="E52" i="17"/>
  <c r="I140" i="17"/>
  <c r="E51" i="16"/>
  <c r="E52" i="16"/>
  <c r="I138" i="16"/>
  <c r="G135" i="16"/>
  <c r="G134" i="16"/>
  <c r="G53" i="16"/>
  <c r="D133" i="16"/>
  <c r="D135" i="16" s="1"/>
  <c r="D50" i="16"/>
  <c r="D52" i="16" s="1"/>
  <c r="D29" i="16"/>
  <c r="D31" i="16" s="1"/>
  <c r="I55" i="16"/>
  <c r="K133" i="16"/>
  <c r="K135" i="16" s="1"/>
  <c r="E133" i="16"/>
  <c r="G52" i="17" l="1"/>
  <c r="E54" i="18"/>
  <c r="I56" i="17"/>
  <c r="G51" i="16"/>
  <c r="G58" i="18"/>
  <c r="E56" i="18"/>
  <c r="D28" i="18"/>
  <c r="D30" i="18" s="1"/>
  <c r="D53" i="18"/>
  <c r="D55" i="18" s="1"/>
  <c r="I59" i="18" s="1"/>
  <c r="G145" i="18"/>
  <c r="G144" i="18"/>
  <c r="I149" i="18"/>
  <c r="E144" i="18"/>
  <c r="E145" i="18"/>
  <c r="G138" i="17"/>
  <c r="E138" i="17"/>
  <c r="G53" i="17"/>
  <c r="E53" i="17"/>
  <c r="I141" i="17"/>
  <c r="I139" i="16"/>
  <c r="E53" i="16"/>
  <c r="G136" i="16"/>
  <c r="I56" i="16"/>
  <c r="G55" i="16"/>
  <c r="G56" i="16" s="1"/>
  <c r="E135" i="16"/>
  <c r="E134" i="16"/>
  <c r="G146" i="18" l="1"/>
  <c r="E58" i="18"/>
  <c r="E146" i="18"/>
  <c r="G59" i="18"/>
  <c r="G140" i="17"/>
  <c r="G141" i="17" s="1"/>
  <c r="E55" i="17"/>
  <c r="E140" i="17"/>
  <c r="G55" i="17"/>
  <c r="G56" i="17" s="1"/>
  <c r="E55" i="16"/>
  <c r="E136" i="16"/>
  <c r="G138" i="16"/>
  <c r="G139" i="16" s="1"/>
  <c r="E148" i="18" l="1"/>
  <c r="G148" i="18"/>
  <c r="G149" i="18" s="1"/>
  <c r="E59" i="18"/>
  <c r="E141" i="17"/>
  <c r="E56" i="17"/>
  <c r="E56" i="16"/>
  <c r="E138" i="16"/>
  <c r="E149" i="18" l="1"/>
  <c r="E139" i="16"/>
  <c r="N122" i="12" l="1"/>
  <c r="C122" i="12"/>
  <c r="H122" i="12" s="1"/>
  <c r="N105" i="12"/>
  <c r="C105" i="12"/>
  <c r="H105" i="12" s="1"/>
  <c r="C38" i="12"/>
  <c r="D38" i="12" s="1"/>
  <c r="C22" i="12"/>
  <c r="J22" i="12" s="1"/>
  <c r="D22" i="12" l="1"/>
  <c r="F22" i="12"/>
  <c r="I22" i="12"/>
  <c r="F122" i="12"/>
  <c r="K105" i="12"/>
  <c r="J105" i="12"/>
  <c r="J122" i="12"/>
  <c r="I122" i="12"/>
  <c r="D122" i="12"/>
  <c r="K122" i="12"/>
  <c r="I105" i="12"/>
  <c r="F105" i="12"/>
  <c r="D105" i="12"/>
  <c r="K38" i="12"/>
  <c r="J38" i="12"/>
  <c r="H38" i="12"/>
  <c r="I38" i="12"/>
  <c r="F38" i="12"/>
  <c r="N103" i="15" l="1"/>
  <c r="C103" i="15"/>
  <c r="D103" i="15" s="1"/>
  <c r="N21" i="15"/>
  <c r="C21" i="15"/>
  <c r="J21" i="15" s="1"/>
  <c r="N20" i="15"/>
  <c r="C20" i="15"/>
  <c r="F20" i="15" s="1"/>
  <c r="N24" i="15"/>
  <c r="C24" i="15"/>
  <c r="D24" i="15" s="1"/>
  <c r="N100" i="12"/>
  <c r="C100" i="12"/>
  <c r="D100" i="12" s="1"/>
  <c r="N102" i="12"/>
  <c r="C102" i="12"/>
  <c r="J102" i="12" s="1"/>
  <c r="N101" i="12"/>
  <c r="C101" i="12"/>
  <c r="E101" i="12" s="1"/>
  <c r="N106" i="12"/>
  <c r="C106" i="12"/>
  <c r="H106" i="12" s="1"/>
  <c r="N38" i="12"/>
  <c r="N19" i="12"/>
  <c r="C19" i="12"/>
  <c r="D19" i="12" s="1"/>
  <c r="N21" i="12"/>
  <c r="C21" i="12"/>
  <c r="E21" i="12" s="1"/>
  <c r="N23" i="12"/>
  <c r="C23" i="12"/>
  <c r="H23" i="12" s="1"/>
  <c r="N22" i="12"/>
  <c r="J20" i="15" l="1"/>
  <c r="D20" i="15"/>
  <c r="H20" i="15"/>
  <c r="F21" i="15"/>
  <c r="I21" i="15"/>
  <c r="J24" i="15"/>
  <c r="G24" i="15"/>
  <c r="K24" i="15"/>
  <c r="E24" i="15"/>
  <c r="D21" i="15"/>
  <c r="K21" i="15"/>
  <c r="K101" i="12"/>
  <c r="E19" i="12"/>
  <c r="K22" i="12"/>
  <c r="E102" i="12"/>
  <c r="D102" i="12"/>
  <c r="J101" i="12"/>
  <c r="K102" i="12"/>
  <c r="G102" i="12"/>
  <c r="K103" i="15"/>
  <c r="I103" i="15"/>
  <c r="H103" i="15"/>
  <c r="J103" i="15"/>
  <c r="F103" i="15"/>
  <c r="K20" i="15"/>
  <c r="I20" i="15"/>
  <c r="J106" i="12"/>
  <c r="F106" i="12"/>
  <c r="H22" i="12"/>
  <c r="D106" i="12"/>
  <c r="E100" i="12"/>
  <c r="G100" i="12"/>
  <c r="K100" i="12"/>
  <c r="J100" i="12"/>
  <c r="D101" i="12"/>
  <c r="G101" i="12"/>
  <c r="K106" i="12"/>
  <c r="I106" i="12"/>
  <c r="K19" i="12"/>
  <c r="J19" i="12"/>
  <c r="G19" i="12"/>
  <c r="D21" i="12"/>
  <c r="K21" i="12"/>
  <c r="J21" i="12"/>
  <c r="G21" i="12"/>
  <c r="F23" i="12"/>
  <c r="D23" i="12"/>
  <c r="K23" i="12"/>
  <c r="J23" i="12"/>
  <c r="I23" i="12"/>
  <c r="N127" i="15" l="1"/>
  <c r="C127" i="15"/>
  <c r="K127" i="15" s="1"/>
  <c r="N42" i="15"/>
  <c r="C42" i="15"/>
  <c r="N129" i="12"/>
  <c r="C129" i="12"/>
  <c r="N35" i="12"/>
  <c r="C35" i="12"/>
  <c r="D35" i="12" s="1"/>
  <c r="N40" i="12"/>
  <c r="C40" i="12"/>
  <c r="D40" i="12" s="1"/>
  <c r="D42" i="15" l="1"/>
  <c r="I42" i="15"/>
  <c r="D127" i="15"/>
  <c r="I127" i="15"/>
  <c r="J127" i="15"/>
  <c r="D129" i="12"/>
  <c r="I129" i="12"/>
  <c r="K42" i="15"/>
  <c r="H127" i="15"/>
  <c r="J42" i="15"/>
  <c r="H42" i="15"/>
  <c r="F127" i="15"/>
  <c r="F42" i="15"/>
  <c r="K129" i="12"/>
  <c r="J129" i="12"/>
  <c r="H129" i="12"/>
  <c r="F129" i="12"/>
  <c r="H35" i="12"/>
  <c r="K40" i="12"/>
  <c r="J40" i="12"/>
  <c r="I40" i="12"/>
  <c r="H40" i="12"/>
  <c r="F40" i="12"/>
  <c r="C116" i="15" l="1"/>
  <c r="H116" i="15" s="1"/>
  <c r="N116" i="15"/>
  <c r="D116" i="15" l="1"/>
  <c r="G116" i="15"/>
  <c r="N39" i="15" l="1"/>
  <c r="C39" i="15"/>
  <c r="D39" i="15" s="1"/>
  <c r="N115" i="12"/>
  <c r="C115" i="12"/>
  <c r="H115" i="12" s="1"/>
  <c r="C116" i="12"/>
  <c r="I116" i="12" s="1"/>
  <c r="N116" i="12"/>
  <c r="J116" i="12" l="1"/>
  <c r="K116" i="12"/>
  <c r="H39" i="15"/>
  <c r="D115" i="12"/>
  <c r="D116" i="12"/>
  <c r="F116" i="12"/>
  <c r="H116" i="12"/>
  <c r="N41" i="15" l="1"/>
  <c r="C41" i="15"/>
  <c r="E41" i="15" s="1"/>
  <c r="K41" i="15" l="1"/>
  <c r="J41" i="15"/>
  <c r="G41" i="15"/>
  <c r="D41" i="15"/>
  <c r="N117" i="12" l="1"/>
  <c r="C117" i="12"/>
  <c r="D117" i="12" s="1"/>
  <c r="N107" i="12"/>
  <c r="C107" i="12"/>
  <c r="F107" i="12" s="1"/>
  <c r="N37" i="12"/>
  <c r="C37" i="12"/>
  <c r="D37" i="12" s="1"/>
  <c r="N33" i="12"/>
  <c r="C33" i="12"/>
  <c r="D33" i="12" s="1"/>
  <c r="N26" i="12"/>
  <c r="C26" i="12"/>
  <c r="D26" i="12" s="1"/>
  <c r="H107" i="12" l="1"/>
  <c r="D107" i="12"/>
  <c r="I107" i="12"/>
  <c r="F37" i="12"/>
  <c r="I37" i="12"/>
  <c r="H37" i="12"/>
  <c r="I117" i="12"/>
  <c r="H117" i="12"/>
  <c r="F117" i="12"/>
  <c r="I33" i="12"/>
  <c r="H33" i="12"/>
  <c r="F33" i="12"/>
  <c r="H26" i="12"/>
  <c r="I26" i="12"/>
  <c r="F26" i="12"/>
  <c r="N121" i="15" l="1"/>
  <c r="C121" i="15"/>
  <c r="D121" i="15" s="1"/>
  <c r="N104" i="15"/>
  <c r="C104" i="15"/>
  <c r="D104" i="15" s="1"/>
  <c r="N17" i="15"/>
  <c r="C17" i="15"/>
  <c r="N38" i="15"/>
  <c r="C38" i="15"/>
  <c r="D38" i="15" s="1"/>
  <c r="N37" i="15"/>
  <c r="C37" i="15"/>
  <c r="D37" i="15" s="1"/>
  <c r="N22" i="15"/>
  <c r="C22" i="15"/>
  <c r="D22" i="15" s="1"/>
  <c r="F37" i="15" l="1"/>
  <c r="G17" i="15"/>
  <c r="D17" i="15"/>
  <c r="I121" i="15"/>
  <c r="H121" i="15"/>
  <c r="F121" i="15"/>
  <c r="I104" i="15"/>
  <c r="H104" i="15"/>
  <c r="F104" i="15"/>
  <c r="G38" i="15"/>
  <c r="H22" i="15"/>
  <c r="F22" i="15"/>
  <c r="I37" i="15"/>
  <c r="H37" i="15"/>
  <c r="I22" i="15"/>
  <c r="N132" i="15" l="1"/>
  <c r="D132" i="15"/>
  <c r="D133" i="15" s="1"/>
  <c r="D135" i="15" s="1"/>
  <c r="N120" i="15"/>
  <c r="C120" i="15"/>
  <c r="G120" i="15" s="1"/>
  <c r="N119" i="15"/>
  <c r="C119" i="15"/>
  <c r="I119" i="15" s="1"/>
  <c r="N118" i="15"/>
  <c r="C118" i="15"/>
  <c r="K118" i="15" s="1"/>
  <c r="N117" i="15"/>
  <c r="C117" i="15"/>
  <c r="K117" i="15" s="1"/>
  <c r="N115" i="15"/>
  <c r="C115" i="15"/>
  <c r="K115" i="15" s="1"/>
  <c r="N114" i="15"/>
  <c r="C114" i="15"/>
  <c r="I114" i="15" s="1"/>
  <c r="N107" i="15"/>
  <c r="C107" i="15"/>
  <c r="I107" i="15" s="1"/>
  <c r="N106" i="15"/>
  <c r="C106" i="15"/>
  <c r="N105" i="15"/>
  <c r="C105" i="15"/>
  <c r="E105" i="15" s="1"/>
  <c r="N102" i="15"/>
  <c r="C102" i="15"/>
  <c r="D102" i="15" s="1"/>
  <c r="N101" i="15"/>
  <c r="C101" i="15"/>
  <c r="I101" i="15" s="1"/>
  <c r="N100" i="15"/>
  <c r="C100" i="15"/>
  <c r="N99" i="15"/>
  <c r="C99" i="15"/>
  <c r="E99" i="15" s="1"/>
  <c r="N40" i="15"/>
  <c r="C40" i="15"/>
  <c r="H40" i="15" s="1"/>
  <c r="N36" i="15"/>
  <c r="C36" i="15"/>
  <c r="J36" i="15" s="1"/>
  <c r="N35" i="15"/>
  <c r="C35" i="15"/>
  <c r="H35" i="15" s="1"/>
  <c r="N34" i="15"/>
  <c r="C34" i="15"/>
  <c r="D34" i="15" s="1"/>
  <c r="N26" i="15"/>
  <c r="C26" i="15"/>
  <c r="E26" i="15" s="1"/>
  <c r="N25" i="15"/>
  <c r="C25" i="15"/>
  <c r="K25" i="15" s="1"/>
  <c r="N23" i="15"/>
  <c r="C23" i="15"/>
  <c r="J23" i="15" s="1"/>
  <c r="N19" i="15"/>
  <c r="C19" i="15"/>
  <c r="I19" i="15" s="1"/>
  <c r="N18" i="15"/>
  <c r="C18" i="15"/>
  <c r="I18" i="15" s="1"/>
  <c r="N16" i="15"/>
  <c r="C16" i="15"/>
  <c r="D16" i="15" s="1"/>
  <c r="D99" i="15" l="1"/>
  <c r="D101" i="15"/>
  <c r="D114" i="15"/>
  <c r="D35" i="15"/>
  <c r="G25" i="15"/>
  <c r="H34" i="15"/>
  <c r="I34" i="15"/>
  <c r="H19" i="15"/>
  <c r="E36" i="15"/>
  <c r="H119" i="15"/>
  <c r="F19" i="15"/>
  <c r="D19" i="15"/>
  <c r="J25" i="15"/>
  <c r="I118" i="15"/>
  <c r="F34" i="15"/>
  <c r="E118" i="15"/>
  <c r="D26" i="15"/>
  <c r="D115" i="15"/>
  <c r="H117" i="15"/>
  <c r="F119" i="15"/>
  <c r="G106" i="15"/>
  <c r="D106" i="15"/>
  <c r="J115" i="15"/>
  <c r="J118" i="15"/>
  <c r="G100" i="15"/>
  <c r="D100" i="15"/>
  <c r="E120" i="15"/>
  <c r="E25" i="15"/>
  <c r="D25" i="15"/>
  <c r="K119" i="15"/>
  <c r="J119" i="15"/>
  <c r="D119" i="15"/>
  <c r="D120" i="15"/>
  <c r="E106" i="15"/>
  <c r="D36" i="15"/>
  <c r="F18" i="15"/>
  <c r="H114" i="15"/>
  <c r="D18" i="15"/>
  <c r="F114" i="15"/>
  <c r="E115" i="15"/>
  <c r="F117" i="15"/>
  <c r="D117" i="15"/>
  <c r="D118" i="15"/>
  <c r="K99" i="15"/>
  <c r="D105" i="15"/>
  <c r="H107" i="15"/>
  <c r="K114" i="15"/>
  <c r="J99" i="15"/>
  <c r="F107" i="15"/>
  <c r="J114" i="15"/>
  <c r="J117" i="15"/>
  <c r="H18" i="15"/>
  <c r="F23" i="15"/>
  <c r="F35" i="15"/>
  <c r="D107" i="15"/>
  <c r="I117" i="15"/>
  <c r="F40" i="15"/>
  <c r="D40" i="15"/>
  <c r="I23" i="15"/>
  <c r="D23" i="15"/>
  <c r="H23" i="15"/>
  <c r="N28" i="15"/>
  <c r="K120" i="15"/>
  <c r="J120" i="15"/>
  <c r="N122" i="15"/>
  <c r="N108" i="15"/>
  <c r="N47" i="15"/>
  <c r="K26" i="15"/>
  <c r="J26" i="15"/>
  <c r="G26" i="15"/>
  <c r="G51" i="15" s="1"/>
  <c r="G53" i="15" s="1"/>
  <c r="K101" i="15"/>
  <c r="J102" i="15"/>
  <c r="K34" i="15"/>
  <c r="I102" i="15"/>
  <c r="J16" i="15"/>
  <c r="K18" i="15"/>
  <c r="K19" i="15"/>
  <c r="J34" i="15"/>
  <c r="J35" i="15"/>
  <c r="J40" i="15"/>
  <c r="H101" i="15"/>
  <c r="H102" i="15"/>
  <c r="J105" i="15"/>
  <c r="K106" i="15"/>
  <c r="K107" i="15"/>
  <c r="K35" i="15"/>
  <c r="E16" i="15"/>
  <c r="J18" i="15"/>
  <c r="J19" i="15"/>
  <c r="K23" i="15"/>
  <c r="I35" i="15"/>
  <c r="K36" i="15"/>
  <c r="I40" i="15"/>
  <c r="F101" i="15"/>
  <c r="F102" i="15"/>
  <c r="G105" i="15"/>
  <c r="J106" i="15"/>
  <c r="J107" i="15"/>
  <c r="K102" i="15"/>
  <c r="J101" i="15"/>
  <c r="K16" i="15"/>
  <c r="K40" i="15"/>
  <c r="K105" i="15"/>
  <c r="D28" i="15" l="1"/>
  <c r="D29" i="15" s="1"/>
  <c r="D31" i="15" s="1"/>
  <c r="G136" i="15"/>
  <c r="G138" i="15" s="1"/>
  <c r="D122" i="15"/>
  <c r="D123" i="15" s="1"/>
  <c r="D125" i="15" s="1"/>
  <c r="E136" i="15"/>
  <c r="E138" i="15" s="1"/>
  <c r="N136" i="15"/>
  <c r="I136" i="15"/>
  <c r="I138" i="15" s="1"/>
  <c r="F51" i="15"/>
  <c r="F53" i="15" s="1"/>
  <c r="D108" i="15"/>
  <c r="D109" i="15" s="1"/>
  <c r="D111" i="15" s="1"/>
  <c r="E51" i="15"/>
  <c r="D47" i="15"/>
  <c r="D48" i="15" s="1"/>
  <c r="D50" i="15" s="1"/>
  <c r="H51" i="15"/>
  <c r="H53" i="15" s="1"/>
  <c r="G54" i="15" s="1"/>
  <c r="N51" i="15"/>
  <c r="J136" i="15"/>
  <c r="J138" i="15" s="1"/>
  <c r="K136" i="15"/>
  <c r="K138" i="15" s="1"/>
  <c r="H136" i="15"/>
  <c r="H138" i="15" s="1"/>
  <c r="I51" i="15"/>
  <c r="I53" i="15" s="1"/>
  <c r="K51" i="15"/>
  <c r="K53" i="15" s="1"/>
  <c r="F136" i="15"/>
  <c r="F138" i="15" s="1"/>
  <c r="J51" i="15"/>
  <c r="J53" i="15" s="1"/>
  <c r="I141" i="15" l="1"/>
  <c r="E52" i="15"/>
  <c r="E53" i="15"/>
  <c r="E54" i="15" s="1"/>
  <c r="D136" i="15"/>
  <c r="D138" i="15" s="1"/>
  <c r="D51" i="15"/>
  <c r="D53" i="15" s="1"/>
  <c r="G52" i="15"/>
  <c r="G137" i="15"/>
  <c r="I56" i="15"/>
  <c r="G56" i="15"/>
  <c r="G139" i="15"/>
  <c r="E139" i="15"/>
  <c r="E137" i="15"/>
  <c r="I142" i="15" l="1"/>
  <c r="I57" i="15"/>
  <c r="G57" i="15"/>
  <c r="E56" i="15"/>
  <c r="G141" i="15"/>
  <c r="G142" i="15" s="1"/>
  <c r="E141" i="15"/>
  <c r="E57" i="15" l="1"/>
  <c r="E142" i="15"/>
  <c r="N121" i="12" l="1"/>
  <c r="C121" i="12"/>
  <c r="D121" i="12" s="1"/>
  <c r="K121" i="12" l="1"/>
  <c r="J121" i="12"/>
  <c r="G121" i="12"/>
  <c r="E121" i="12"/>
  <c r="N114" i="12" l="1"/>
  <c r="N97" i="12"/>
  <c r="N16" i="12"/>
  <c r="N17" i="12"/>
  <c r="N134" i="12" l="1"/>
  <c r="N120" i="12"/>
  <c r="C120" i="12"/>
  <c r="I120" i="12" s="1"/>
  <c r="N119" i="12"/>
  <c r="C119" i="12"/>
  <c r="I119" i="12" s="1"/>
  <c r="N118" i="12"/>
  <c r="C118" i="12"/>
  <c r="J118" i="12" s="1"/>
  <c r="C114" i="12"/>
  <c r="J114" i="12" s="1"/>
  <c r="N104" i="12"/>
  <c r="C104" i="12"/>
  <c r="D104" i="12" s="1"/>
  <c r="N103" i="12"/>
  <c r="C103" i="12"/>
  <c r="K103" i="12" s="1"/>
  <c r="N99" i="12"/>
  <c r="C99" i="12"/>
  <c r="I99" i="12" s="1"/>
  <c r="N98" i="12"/>
  <c r="C98" i="12"/>
  <c r="C97" i="12"/>
  <c r="J97" i="12" s="1"/>
  <c r="N39" i="12"/>
  <c r="C39" i="12"/>
  <c r="E39" i="12" s="1"/>
  <c r="N36" i="12"/>
  <c r="C36" i="12"/>
  <c r="E36" i="12" s="1"/>
  <c r="N34" i="12"/>
  <c r="C34" i="12"/>
  <c r="N25" i="12"/>
  <c r="C25" i="12"/>
  <c r="J25" i="12" s="1"/>
  <c r="N24" i="12"/>
  <c r="C24" i="12"/>
  <c r="I24" i="12" s="1"/>
  <c r="N20" i="12"/>
  <c r="C20" i="12"/>
  <c r="E20" i="12" s="1"/>
  <c r="N18" i="12"/>
  <c r="C18" i="12"/>
  <c r="D18" i="12" s="1"/>
  <c r="C17" i="12"/>
  <c r="K16" i="12"/>
  <c r="J16" i="12"/>
  <c r="E16" i="12"/>
  <c r="D16" i="12"/>
  <c r="F119" i="12" l="1"/>
  <c r="K99" i="12"/>
  <c r="D98" i="12"/>
  <c r="G98" i="12"/>
  <c r="G34" i="12"/>
  <c r="D34" i="12"/>
  <c r="D17" i="12"/>
  <c r="G17" i="12"/>
  <c r="H119" i="12"/>
  <c r="D39" i="12"/>
  <c r="G39" i="12"/>
  <c r="J39" i="12"/>
  <c r="K39" i="12"/>
  <c r="G120" i="12"/>
  <c r="D119" i="12"/>
  <c r="D134" i="12"/>
  <c r="D135" i="12" s="1"/>
  <c r="D137" i="12" s="1"/>
  <c r="J103" i="12"/>
  <c r="I103" i="12"/>
  <c r="H103" i="12"/>
  <c r="F103" i="12"/>
  <c r="D103" i="12"/>
  <c r="H118" i="12"/>
  <c r="F118" i="12"/>
  <c r="D118" i="12"/>
  <c r="I118" i="12" s="1"/>
  <c r="E120" i="12"/>
  <c r="D120" i="12"/>
  <c r="K104" i="12"/>
  <c r="J104" i="12"/>
  <c r="I104" i="12"/>
  <c r="F104" i="12"/>
  <c r="E114" i="12"/>
  <c r="D114" i="12"/>
  <c r="N124" i="12"/>
  <c r="H99" i="12"/>
  <c r="F99" i="12"/>
  <c r="D99" i="12"/>
  <c r="J99" i="12"/>
  <c r="I25" i="12"/>
  <c r="F25" i="12"/>
  <c r="D36" i="12"/>
  <c r="K114" i="12"/>
  <c r="E97" i="12"/>
  <c r="D97" i="12"/>
  <c r="N109" i="12"/>
  <c r="D20" i="12"/>
  <c r="H24" i="12"/>
  <c r="F24" i="12"/>
  <c r="D24" i="12"/>
  <c r="D25" i="12"/>
  <c r="K36" i="12"/>
  <c r="N46" i="12"/>
  <c r="J36" i="12"/>
  <c r="N28" i="12"/>
  <c r="K118" i="12"/>
  <c r="K119" i="12"/>
  <c r="K120" i="12"/>
  <c r="K18" i="12"/>
  <c r="K20" i="12"/>
  <c r="K97" i="12"/>
  <c r="J119" i="12"/>
  <c r="J120" i="12"/>
  <c r="J18" i="12"/>
  <c r="I18" i="12"/>
  <c r="H18" i="12"/>
  <c r="J20" i="12"/>
  <c r="K24" i="12"/>
  <c r="F18" i="12"/>
  <c r="G20" i="12"/>
  <c r="J24" i="12"/>
  <c r="K25" i="12"/>
  <c r="D46" i="12" l="1"/>
  <c r="D47" i="12" s="1"/>
  <c r="F138" i="12"/>
  <c r="F140" i="12" s="1"/>
  <c r="E50" i="12"/>
  <c r="E52" i="12" s="1"/>
  <c r="N138" i="12"/>
  <c r="D109" i="12"/>
  <c r="D124" i="12"/>
  <c r="H138" i="12"/>
  <c r="H140" i="12" s="1"/>
  <c r="I138" i="12"/>
  <c r="I140" i="12" s="1"/>
  <c r="G138" i="12"/>
  <c r="G140" i="12" s="1"/>
  <c r="E138" i="12"/>
  <c r="E140" i="12" s="1"/>
  <c r="J138" i="12"/>
  <c r="J140" i="12" s="1"/>
  <c r="G50" i="12"/>
  <c r="G52" i="12" s="1"/>
  <c r="H50" i="12"/>
  <c r="H52" i="12" s="1"/>
  <c r="D28" i="12"/>
  <c r="D29" i="12" s="1"/>
  <c r="F50" i="12"/>
  <c r="F52" i="12" s="1"/>
  <c r="I50" i="12"/>
  <c r="I52" i="12" s="1"/>
  <c r="I55" i="12" s="1"/>
  <c r="K50" i="12"/>
  <c r="K52" i="12" s="1"/>
  <c r="N50" i="12"/>
  <c r="J50" i="12"/>
  <c r="J52" i="12" s="1"/>
  <c r="K138" i="12"/>
  <c r="K140" i="12" s="1"/>
  <c r="I143" i="12" l="1"/>
  <c r="D125" i="12"/>
  <c r="D127" i="12" s="1"/>
  <c r="D110" i="12"/>
  <c r="D112" i="12" s="1"/>
  <c r="D138" i="12"/>
  <c r="D140" i="12" s="1"/>
  <c r="G139" i="12"/>
  <c r="D49" i="12"/>
  <c r="D31" i="12"/>
  <c r="G141" i="12"/>
  <c r="E139" i="12"/>
  <c r="G51" i="12"/>
  <c r="E51" i="12"/>
  <c r="D50" i="12"/>
  <c r="D52" i="12" s="1"/>
  <c r="E53" i="12"/>
  <c r="E141" i="12"/>
  <c r="E143" i="12" s="1"/>
  <c r="G53" i="12"/>
  <c r="I56" i="12" l="1"/>
  <c r="E144" i="12"/>
  <c r="I144" i="12"/>
  <c r="E55" i="12"/>
  <c r="E56" i="12" s="1"/>
  <c r="G55" i="12"/>
  <c r="G56" i="12" s="1"/>
  <c r="G143" i="12"/>
  <c r="G144" i="12" s="1"/>
</calcChain>
</file>

<file path=xl/sharedStrings.xml><?xml version="1.0" encoding="utf-8"?>
<sst xmlns="http://schemas.openxmlformats.org/spreadsheetml/2006/main" count="1332" uniqueCount="228">
  <si>
    <t>Số
TT</t>
  </si>
  <si>
    <t>Gạo tẻ</t>
  </si>
  <si>
    <t>Mắm</t>
  </si>
  <si>
    <t>Thịt bò</t>
  </si>
  <si>
    <t>Cà rốt</t>
  </si>
  <si>
    <t>Mộc nhĩ</t>
  </si>
  <si>
    <t>Năng lượng bữa chính/trẻ</t>
  </si>
  <si>
    <t>Năng lượng bữa phụ/trẻ</t>
  </si>
  <si>
    <t>Lượng 
TP 
sạch</t>
  </si>
  <si>
    <t>Năng 
lượng
(Kcal)</t>
  </si>
  <si>
    <r>
      <t>P</t>
    </r>
    <r>
      <rPr>
        <sz val="11"/>
        <rFont val="Times New Roman"/>
        <family val="1"/>
      </rPr>
      <t>(ĐV)</t>
    </r>
  </si>
  <si>
    <t>Protein (g)</t>
  </si>
  <si>
    <r>
      <t>P</t>
    </r>
    <r>
      <rPr>
        <sz val="11"/>
        <rFont val="Times New Roman"/>
        <family val="1"/>
      </rPr>
      <t>(TV)</t>
    </r>
  </si>
  <si>
    <t>Lipid (g)</t>
  </si>
  <si>
    <r>
      <t>L</t>
    </r>
    <r>
      <rPr>
        <sz val="11"/>
        <rFont val="Times New Roman"/>
        <family val="1"/>
      </rPr>
      <t>(ĐV)</t>
    </r>
  </si>
  <si>
    <r>
      <t>L</t>
    </r>
    <r>
      <rPr>
        <sz val="11"/>
        <rFont val="Times New Roman"/>
        <family val="1"/>
      </rPr>
      <t>(TV)</t>
    </r>
  </si>
  <si>
    <t>Glucid
(g)</t>
  </si>
  <si>
    <t>Thực phẩm cần mua (g)</t>
  </si>
  <si>
    <t>Số tiền (đ)</t>
  </si>
  <si>
    <t>Tên 
thực phẩm</t>
  </si>
  <si>
    <t>Cà chua</t>
  </si>
  <si>
    <t>19.5-35.4</t>
  </si>
  <si>
    <t>17-28.2</t>
  </si>
  <si>
    <t>78-106.2</t>
  </si>
  <si>
    <t>19-31.7</t>
  </si>
  <si>
    <t>20-28.9</t>
  </si>
  <si>
    <t>68.8-79.4</t>
  </si>
  <si>
    <t>Nấm hương</t>
  </si>
  <si>
    <t>615-726</t>
  </si>
  <si>
    <t>600-651</t>
  </si>
  <si>
    <t>Trứng vịt</t>
  </si>
  <si>
    <t>BẢNG TÍNH KHẨU PHẦN ĂN CỦA TRẺ MẪU GIÁO</t>
  </si>
  <si>
    <t>BẢNG TÍNH KHẨU PHẦN ĂN CỦA TRẺ NHÀ TRẺ</t>
  </si>
  <si>
    <t>NGƯỜI THỰC HIỆN</t>
  </si>
  <si>
    <t>Bữa chính</t>
  </si>
  <si>
    <t>Bữa phụ</t>
  </si>
  <si>
    <t>Năng lượng bữa chiều/trẻ</t>
  </si>
  <si>
    <t>Năng lượng bữa trưa/trẻ</t>
  </si>
  <si>
    <t>Bữa chiều</t>
  </si>
  <si>
    <t>Bữa trưa</t>
  </si>
  <si>
    <t>Đơn giá</t>
  </si>
  <si>
    <t>Ca</t>
  </si>
  <si>
    <t>B1</t>
  </si>
  <si>
    <t>Lipit (g)</t>
  </si>
  <si>
    <t>% năng lượng bữa trưa</t>
  </si>
  <si>
    <t>30-35%</t>
  </si>
  <si>
    <t>25-30%</t>
  </si>
  <si>
    <t>% năng lượng bữa phụ</t>
  </si>
  <si>
    <t>% năng lượng bữa chính</t>
  </si>
  <si>
    <t>% năng lượng bữa chiều</t>
  </si>
  <si>
    <t>5-10%</t>
  </si>
  <si>
    <t>% năng lượng
 bữa chính</t>
  </si>
  <si>
    <t>% năng lượng 
bữa phụ</t>
  </si>
  <si>
    <t>% năng lượng
 bữa trưa</t>
  </si>
  <si>
    <t>% năng lượng 
bữa chiều</t>
  </si>
  <si>
    <t>Đơn giá (đ)</t>
  </si>
  <si>
    <t>Đơn giá
 (đ)</t>
  </si>
  <si>
    <t>Đơn giá
(đ)</t>
  </si>
  <si>
    <t>15-20%</t>
  </si>
  <si>
    <t>Thực đạt</t>
  </si>
  <si>
    <t>Thực  đạt</t>
  </si>
  <si>
    <r>
      <t>TRƯỜ</t>
    </r>
    <r>
      <rPr>
        <b/>
        <u/>
        <sz val="11"/>
        <rFont val="Times New Roman"/>
        <family val="1"/>
      </rPr>
      <t>NG MÂM NON MỸ</t>
    </r>
    <r>
      <rPr>
        <b/>
        <sz val="11"/>
        <rFont val="Times New Roman"/>
        <family val="1"/>
      </rPr>
      <t xml:space="preserve"> TIẾN</t>
    </r>
  </si>
  <si>
    <t>PHÓ HIỆU TRƯỞNG</t>
  </si>
  <si>
    <t>Trứng gà</t>
  </si>
  <si>
    <t>Thịt vịt</t>
  </si>
  <si>
    <r>
      <t>TRƯỜ</t>
    </r>
    <r>
      <rPr>
        <b/>
        <u/>
        <sz val="11"/>
        <rFont val="Times New Roman"/>
        <family val="1"/>
      </rPr>
      <t>NG MÂM NON MỸ TIẾN</t>
    </r>
  </si>
  <si>
    <t>S
TT</t>
  </si>
  <si>
    <t>Hạt sen</t>
  </si>
  <si>
    <t>Lạc hạt</t>
  </si>
  <si>
    <t>Thịt gà</t>
  </si>
  <si>
    <t>Nấm Hương</t>
  </si>
  <si>
    <t xml:space="preserve">Thịt lợn nạc </t>
  </si>
  <si>
    <t>Thì là</t>
  </si>
  <si>
    <t>Gạo nếp</t>
  </si>
  <si>
    <t>Thịt lợn nạc</t>
  </si>
  <si>
    <t>Bí đao</t>
  </si>
  <si>
    <t>Thanh long</t>
  </si>
  <si>
    <t>Khẩu phần 
cả ngày của 1 trẻ đạt (g)</t>
  </si>
  <si>
    <t>Kcal (P:L:G)</t>
  </si>
  <si>
    <t>Khuyến nghị</t>
  </si>
  <si>
    <t>Khẩu phần khuyến nghị (g)</t>
  </si>
  <si>
    <t>Tỷ lệ các chất  (%)</t>
  </si>
  <si>
    <t>13-20</t>
  </si>
  <si>
    <t>25-35</t>
  </si>
  <si>
    <t>52-60</t>
  </si>
  <si>
    <t>30-40</t>
  </si>
  <si>
    <t>47-50</t>
  </si>
  <si>
    <t>Tỷ lệ các chất (%)</t>
  </si>
  <si>
    <t>THỰC ĐƠN</t>
  </si>
  <si>
    <t>BỮA CHIỀU</t>
  </si>
  <si>
    <t>Cơm tẻ</t>
  </si>
  <si>
    <t>Đặng Thị Phượng</t>
  </si>
  <si>
    <t xml:space="preserve">Thịt gà </t>
  </si>
  <si>
    <t>Bí đỏ</t>
  </si>
  <si>
    <r>
      <t xml:space="preserve">L
</t>
    </r>
    <r>
      <rPr>
        <sz val="11"/>
        <rFont val="Times New Roman"/>
        <family val="1"/>
      </rPr>
      <t>(ĐV)</t>
    </r>
  </si>
  <si>
    <t>Canh bí đao, cà rốt nấu thịt vịt</t>
  </si>
  <si>
    <t xml:space="preserve">Tôm </t>
  </si>
  <si>
    <t>BỮA CHÍNH TRƯA</t>
  </si>
  <si>
    <t>BỮA PHỤ CHIỀU</t>
  </si>
  <si>
    <t>BỮA  CHÍNH TRƯA</t>
  </si>
  <si>
    <t xml:space="preserve">BỮA PHỤ </t>
  </si>
  <si>
    <t>BỮA CHÍNH CHIỀU</t>
  </si>
  <si>
    <t>Thịt gà om nấm hương</t>
  </si>
  <si>
    <t>Rau hẹ</t>
  </si>
  <si>
    <t>BỮA PHỤ</t>
  </si>
  <si>
    <t xml:space="preserve">Cộng chung bữa chính </t>
  </si>
  <si>
    <t xml:space="preserve">Cộng chung bữa phụ </t>
  </si>
  <si>
    <t>Cộng chung 
xuất ăn</t>
  </si>
  <si>
    <t>Cộng chung bữa trưa</t>
  </si>
  <si>
    <t>Cộng chung bữa chiều</t>
  </si>
  <si>
    <t>Cộng chung bữa phụ</t>
  </si>
  <si>
    <t>Cộng chung 
 xuất ăn</t>
  </si>
  <si>
    <t>Trứng gà hấp mộc nhĩ, nấm hương</t>
  </si>
  <si>
    <t>Cộng chung  xuất ăn</t>
  </si>
  <si>
    <t>Nhận xét: So với khẩu phần khuyến nghị</t>
  </si>
  <si>
    <t xml:space="preserve">                </t>
  </si>
  <si>
    <t>Số g các chất dinh dưỡng và tỷ lệ các chất dinh dưỡng (P:L:G) đạt trong khoảng quy định.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</si>
  <si>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trẻ.</t>
    </r>
  </si>
  <si>
    <t xml:space="preserve">Cộng chung bữa trưa </t>
  </si>
  <si>
    <t xml:space="preserve">Cộng chung bữa chiều </t>
  </si>
  <si>
    <t>Cộng chung bữa chính</t>
  </si>
  <si>
    <t xml:space="preserve">Cộng bữa chính </t>
  </si>
  <si>
    <t>Số xuất ăn</t>
  </si>
  <si>
    <t>Bột canh, hạt nêm</t>
  </si>
  <si>
    <t>Trần Thị Thu</t>
  </si>
  <si>
    <t xml:space="preserve">Số g các chất dinh dưỡng và tỷ lệ các chất dinh dưỡng (P:L:G) đạt trong khoảng quy định. </t>
  </si>
  <si>
    <t xml:space="preserve">Số g các chất dinh dưỡng (P:L:G) đạt trong khoảng quy định. </t>
  </si>
  <si>
    <t>Trần Thị Minh Thu</t>
  </si>
  <si>
    <r>
      <t>Cách khắc phục:</t>
    </r>
    <r>
      <rPr>
        <sz val="11"/>
        <rFont val="Times New Roman"/>
        <family val="1"/>
      </rPr>
      <t xml:space="preserve"> Duy trì số g lương thực thực phẩm trong khẩu phần ăn của trẻ </t>
    </r>
  </si>
  <si>
    <r>
      <t xml:space="preserve">Cách khắc phục: </t>
    </r>
    <r>
      <rPr>
        <sz val="11"/>
        <rFont val="Times New Roman"/>
        <family val="1"/>
      </rPr>
      <t>Duy trì số g lương thực, thực phẩm trong khẩu phần ăn của trẻ</t>
    </r>
  </si>
  <si>
    <r>
      <t xml:space="preserve">Cách khắc phục: </t>
    </r>
    <r>
      <rPr>
        <sz val="11"/>
        <rFont val="Times New Roman"/>
        <family val="1"/>
      </rPr>
      <t>Duy trì định lượng lương thực, thực phẩm trong khẩu phần ăn của trẻ.</t>
    </r>
  </si>
  <si>
    <t>Rau cải thìa</t>
  </si>
  <si>
    <t>Trứng vịt chiên sốt cà chua</t>
  </si>
  <si>
    <t>Canh bí đỏ nấu thịt vịt</t>
  </si>
  <si>
    <t>Thịt bò sốt cà chua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</si>
  <si>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</t>
    </r>
  </si>
  <si>
    <t>Hành khô</t>
  </si>
  <si>
    <t>Cháo  - thịt vịt, bí đỏ</t>
  </si>
  <si>
    <t>Bột sắn dây</t>
  </si>
  <si>
    <t>Nước tương</t>
  </si>
  <si>
    <t>Bánh đa</t>
  </si>
  <si>
    <t>Dầu cá Ranee</t>
  </si>
  <si>
    <t>Củ cải</t>
  </si>
  <si>
    <t>Sườn lợn</t>
  </si>
  <si>
    <t>Cháo thịt vịt - cà rốt</t>
  </si>
  <si>
    <t>Cháo thịt gà, bí đao</t>
  </si>
  <si>
    <t>Dầu Simply</t>
  </si>
  <si>
    <t>Trứng chim cút</t>
  </si>
  <si>
    <t>Uống sữa Nuvi Grow</t>
  </si>
  <si>
    <t>Sữa bột Nuvi Grow</t>
  </si>
  <si>
    <t>Thịt vịt om nước tương</t>
  </si>
  <si>
    <t>Khuyến
 nghị</t>
  </si>
  <si>
    <t>Tỷ lệ L động vật đạt 70.7%; so với khẩu phần khuyến nghị đảm bảo đạt</t>
  </si>
  <si>
    <t>Cá quả sốt cà chua</t>
  </si>
  <si>
    <t>Dứa xào thịt bò</t>
  </si>
  <si>
    <t>Dứa</t>
  </si>
  <si>
    <t>Cá quả</t>
  </si>
  <si>
    <t>Bí đao, cà rốt xào thịt gà</t>
  </si>
  <si>
    <t>Thịt lợn trộn trứng gà mộc nhĩ, nấm hương  hấp</t>
  </si>
  <si>
    <t>Bí đao xào thịt bò</t>
  </si>
  <si>
    <t xml:space="preserve">Canh củ cải, cà rốt sườn lợn </t>
  </si>
  <si>
    <t>Xôi đậu xanh, ruốc thịt lợn</t>
  </si>
  <si>
    <t xml:space="preserve">Trứng vịt đúc thịt lợn </t>
  </si>
  <si>
    <t>Trứng vịt đúc thịt lợn</t>
  </si>
  <si>
    <t>Ruốc thịt lợn, lạc</t>
  </si>
  <si>
    <t>Canh rau hẹ nấu thịt lợn</t>
  </si>
  <si>
    <t>Canh bí đao nấu thịt lợn</t>
  </si>
  <si>
    <t>Canh bí đỏ, cà rốt nấu thịt lợn</t>
  </si>
  <si>
    <t>Tôm, thịt lợn sốt dứa, cà chua</t>
  </si>
  <si>
    <t>Súp gà ngô</t>
  </si>
  <si>
    <t>Ngô ngọt</t>
  </si>
  <si>
    <t>Rau thơm</t>
  </si>
  <si>
    <t>Bắp cải xào thịt lợn</t>
  </si>
  <si>
    <t>Canh rau cải thìa nấu thịt gà</t>
  </si>
  <si>
    <t>Thịt gà, trứng chim cút sốt cà chua</t>
  </si>
  <si>
    <t>Cháo thịt bò, thịt gà - cà rốt, hạt sen</t>
  </si>
  <si>
    <t>Bắp cải</t>
  </si>
  <si>
    <t>Tỷ lệ L động vật đạt 70.1%; so với khẩu phần khuyến nghị đảm bảo đạt</t>
  </si>
  <si>
    <t>Canh su hàot nấu thịt gà</t>
  </si>
  <si>
    <t>Bánh đa - thịt lợn rau bắp cải</t>
  </si>
  <si>
    <t>Su hào</t>
  </si>
  <si>
    <t>Rau bắp cải</t>
  </si>
  <si>
    <t>Canh su hào nấu thịt gà</t>
  </si>
  <si>
    <t>Canh rau bắp cải nấu thịt lợn</t>
  </si>
  <si>
    <t>Tỷ lệ P động vật đạt 58.1%; so với khẩu phần khuyến nghị đảm bảo đạt</t>
  </si>
  <si>
    <t>Tỷ lệ L động vật đạt 70.2%; so với khẩu phần khuyến nghị đảm bảo đạt</t>
  </si>
  <si>
    <t>Canh rau bắp cải nấu tôm</t>
  </si>
  <si>
    <t>Bí đỏ xào thịt lợn</t>
  </si>
  <si>
    <t>Tỷ lệ P động vật đạt 53.4%; so với khẩu phần khuyến nghị tương đối đạt</t>
  </si>
  <si>
    <t>Gấc</t>
  </si>
  <si>
    <t>Su hào xào thịt lợn</t>
  </si>
  <si>
    <t>Canh rau cải cúc nấu tôm</t>
  </si>
  <si>
    <t>Rau cải cúc</t>
  </si>
  <si>
    <t>Tỷ lệ L động vật đạt 70.5%; so với khẩu phần khuyến nghị đảm bảo đạt</t>
  </si>
  <si>
    <t>Tỷ lệ P động vật đạt 60%; so với khẩu phần khuyến nghị đảm bảo đạt</t>
  </si>
  <si>
    <t>Tỷ lệ P động vật đạt 50.5%; so với khẩu phần khuyến tương đối đạt</t>
  </si>
  <si>
    <t>Thứ hai, ngày 12 tháng 1 năm 2026</t>
  </si>
  <si>
    <t>Kcal đạt 658.05. So với khẩu phần khuyến nghị đảm bảo đạt</t>
  </si>
  <si>
    <t>Tỷ lệ P động vật đạt 49.4%; so với khẩu phần khuyến nghị thấp hơn 10.6%</t>
  </si>
  <si>
    <t>Kcal đạt 622.2 So với khẩu phần khuyến nghị đảm bảo đạt</t>
  </si>
  <si>
    <t>Tỷ lệ L động vật đạt 70.3%; so với khẩu phần khuyến nghị đảm bảo đạt</t>
  </si>
  <si>
    <t>Tỷ lệ P động vật đạt 51.2%; so với khẩu phần khuyến nghị tương đối đạt</t>
  </si>
  <si>
    <t>Thứ ba, ngày 13 tháng 1 năm 2026</t>
  </si>
  <si>
    <t>Tỷ lệ P động vật đạt 54.5%; so với khẩu phần khuyến nghị tương đối đạt</t>
  </si>
  <si>
    <t>Tỷ lệ L động vật đạt 70.8%; so với khẩu phần khuyến nghị đảm bảo đạt</t>
  </si>
  <si>
    <t>Kcal đạt 626.18. So với khẩu phần khuyến nghị đảm bảo đạt</t>
  </si>
  <si>
    <t>Thứ tư, ngày 14 tháng 1 năm 2026</t>
  </si>
  <si>
    <t>Kcal đạt 724.9. So với khẩu phần khuyến nghị đảm bảo đạt</t>
  </si>
  <si>
    <t>Tỷ lệ L động vật đạt 70%; so với khẩu phần khuyến nghị đảm bảo đạt</t>
  </si>
  <si>
    <t>Kcal đạt 646.07. So với khẩu phần khuyến nghị đảm bảo đạt</t>
  </si>
  <si>
    <t>Tỷ lệ P động vật đạt 60.5%; Cao hơn so với khẩu phần khuyến nghị 0.4%</t>
  </si>
  <si>
    <t>Thứ năm, ngày 15 tháng 1 năm 2026</t>
  </si>
  <si>
    <t>Kcal đạt 696.41. So với khẩu phần khuyến nghị đảm bảo đạt</t>
  </si>
  <si>
    <t>Tỷ lệ P động vật đạt 54.6%; so với khẩu phần khuyến nghị tương đối đạt</t>
  </si>
  <si>
    <t>Kcal đạt 634.53. So với khẩu phần khuyến nghị đảm bảo đạt đạt</t>
  </si>
  <si>
    <t>Tỷ lệ P động vật đạt 61.4%; so với khẩu phần khuyến cao hơn 1.4%</t>
  </si>
  <si>
    <t>Thứ sáu, ngày 16 tháng 1 năm 2026</t>
  </si>
  <si>
    <t>Kcal đạt 697.79. So với khẩu phần khuyến nghị đảm bảo đạt</t>
  </si>
  <si>
    <t>Tỷ lệ L động vật đạt 69.4%; so với khẩu phần khuyến nghị đảm bảo đạt</t>
  </si>
  <si>
    <t>Kcal đạt 628.36 So với khẩu phần khuyến nghị đảm bảo đạt</t>
  </si>
  <si>
    <t>Tỷ lệ P động vật đạt 69.6%; so với khẩu phần khuyến nghị cao hơn 9,6%</t>
  </si>
  <si>
    <t>Tỷ lệ L động vật đạt 69.6%; so với khẩu phần khuyến nghị đảm bảo đạt</t>
  </si>
  <si>
    <t>Thứ bẩy, ngày 17 tháng 1 năm 2026</t>
  </si>
  <si>
    <t>Kcal đạt 725.5 So với khẩu phần khuyến nghị đảm bảo đạt</t>
  </si>
  <si>
    <t>Kcal đạt 646.3. So với khẩu phần khuyến nghị đảm bảo đạt</t>
  </si>
  <si>
    <t>Tỷ lệ P động vật đạt 57.8%; so với khẩu phần khuyến nghị đảm bảo đạt</t>
  </si>
  <si>
    <t>Tỷ lệ L động vật đạt 70.6%; so với khẩu phần khuyến nghị cao hơn 0.6%</t>
  </si>
  <si>
    <t>Kcal đạt 714.1. So với khẩu phần khuyến nghị đảm bảo đạt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</si>
</sst>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"/>
    <numFmt numFmtId="165" formatCode="#.##0"/>
    <numFmt numFmtId="166" formatCode="#,##0.0"/>
    <numFmt numFmtId="167" formatCode="0.0"/>
  </numFmts>
  <fonts count="1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u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sz val="11"/>
      <color indexed="8"/>
      <name val="Calibri"/>
      <family val="2"/>
    </font>
    <font>
      <sz val="9"/>
      <name val="Arial"/>
      <family val="2"/>
    </font>
    <font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575">
    <xf numFmtId="0" fontId="0" fillId="0" borderId="0" xfId="0"/>
    <xf numFmtId="0" fontId="3" fillId="0" borderId="0" xfId="0" applyFont="1"/>
    <xf numFmtId="2" fontId="3" fillId="0" borderId="0" xfId="0" applyNumberFormat="1" applyFont="1"/>
    <xf numFmtId="4" fontId="3" fillId="0" borderId="0" xfId="0" applyNumberFormat="1" applyFont="1"/>
    <xf numFmtId="0" fontId="7" fillId="0" borderId="5" xfId="0" applyFont="1" applyBorder="1"/>
    <xf numFmtId="0" fontId="7" fillId="0" borderId="6" xfId="0" applyFont="1" applyBorder="1"/>
    <xf numFmtId="4" fontId="6" fillId="0" borderId="2" xfId="0" applyNumberFormat="1" applyFont="1" applyBorder="1"/>
    <xf numFmtId="0" fontId="5" fillId="0" borderId="0" xfId="0" applyFont="1"/>
    <xf numFmtId="0" fontId="7" fillId="0" borderId="5" xfId="0" applyFont="1" applyBorder="1" applyAlignment="1">
      <alignment horizontal="center"/>
    </xf>
    <xf numFmtId="3" fontId="7" fillId="0" borderId="5" xfId="1" applyNumberFormat="1" applyFont="1" applyBorder="1" applyAlignment="1">
      <alignment horizontal="left"/>
    </xf>
    <xf numFmtId="0" fontId="2" fillId="0" borderId="0" xfId="0" applyFont="1"/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3" fontId="7" fillId="0" borderId="14" xfId="1" applyNumberFormat="1" applyFont="1" applyBorder="1" applyAlignment="1">
      <alignment horizontal="left"/>
    </xf>
    <xf numFmtId="167" fontId="3" fillId="0" borderId="0" xfId="0" applyNumberFormat="1" applyFont="1"/>
    <xf numFmtId="3" fontId="11" fillId="0" borderId="3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10" fillId="0" borderId="18" xfId="0" applyFont="1" applyBorder="1"/>
    <xf numFmtId="0" fontId="10" fillId="0" borderId="7" xfId="0" applyFont="1" applyBorder="1"/>
    <xf numFmtId="3" fontId="11" fillId="0" borderId="5" xfId="0" applyNumberFormat="1" applyFont="1" applyBorder="1"/>
    <xf numFmtId="2" fontId="11" fillId="0" borderId="5" xfId="0" applyNumberFormat="1" applyFont="1" applyBorder="1"/>
    <xf numFmtId="4" fontId="11" fillId="0" borderId="5" xfId="0" applyNumberFormat="1" applyFont="1" applyBorder="1"/>
    <xf numFmtId="1" fontId="11" fillId="0" borderId="5" xfId="0" applyNumberFormat="1" applyFont="1" applyBorder="1"/>
    <xf numFmtId="164" fontId="11" fillId="0" borderId="5" xfId="0" applyNumberFormat="1" applyFont="1" applyBorder="1"/>
    <xf numFmtId="4" fontId="11" fillId="0" borderId="6" xfId="0" applyNumberFormat="1" applyFont="1" applyBorder="1"/>
    <xf numFmtId="1" fontId="11" fillId="0" borderId="6" xfId="0" applyNumberFormat="1" applyFont="1" applyBorder="1"/>
    <xf numFmtId="3" fontId="11" fillId="0" borderId="6" xfId="0" applyNumberFormat="1" applyFont="1" applyBorder="1"/>
    <xf numFmtId="2" fontId="11" fillId="0" borderId="6" xfId="0" applyNumberFormat="1" applyFont="1" applyBorder="1"/>
    <xf numFmtId="3" fontId="11" fillId="0" borderId="2" xfId="0" applyNumberFormat="1" applyFont="1" applyBorder="1"/>
    <xf numFmtId="2" fontId="6" fillId="0" borderId="2" xfId="0" applyNumberFormat="1" applyFont="1" applyBorder="1"/>
    <xf numFmtId="4" fontId="11" fillId="0" borderId="2" xfId="0" applyNumberFormat="1" applyFont="1" applyBorder="1"/>
    <xf numFmtId="1" fontId="11" fillId="0" borderId="2" xfId="0" applyNumberFormat="1" applyFont="1" applyBorder="1"/>
    <xf numFmtId="3" fontId="6" fillId="0" borderId="2" xfId="0" applyNumberFormat="1" applyFont="1" applyBorder="1" applyAlignment="1">
      <alignment horizontal="center" vertical="center"/>
    </xf>
    <xf numFmtId="3" fontId="11" fillId="0" borderId="4" xfId="0" applyNumberFormat="1" applyFont="1" applyBorder="1"/>
    <xf numFmtId="4" fontId="11" fillId="0" borderId="4" xfId="0" applyNumberFormat="1" applyFont="1" applyBorder="1"/>
    <xf numFmtId="1" fontId="11" fillId="0" borderId="4" xfId="0" applyNumberFormat="1" applyFont="1" applyBorder="1"/>
    <xf numFmtId="1" fontId="6" fillId="0" borderId="2" xfId="0" applyNumberFormat="1" applyFont="1" applyBorder="1"/>
    <xf numFmtId="0" fontId="11" fillId="0" borderId="2" xfId="0" applyFont="1" applyBorder="1"/>
    <xf numFmtId="0" fontId="6" fillId="0" borderId="2" xfId="0" applyFont="1" applyBorder="1"/>
    <xf numFmtId="0" fontId="6" fillId="0" borderId="16" xfId="0" applyFont="1" applyBorder="1"/>
    <xf numFmtId="0" fontId="6" fillId="0" borderId="2" xfId="0" applyFont="1" applyBorder="1" applyAlignment="1">
      <alignment vertical="center"/>
    </xf>
    <xf numFmtId="4" fontId="12" fillId="0" borderId="2" xfId="0" applyNumberFormat="1" applyFont="1" applyBorder="1"/>
    <xf numFmtId="3" fontId="11" fillId="0" borderId="14" xfId="0" applyNumberFormat="1" applyFont="1" applyBorder="1"/>
    <xf numFmtId="2" fontId="11" fillId="0" borderId="14" xfId="0" applyNumberFormat="1" applyFont="1" applyBorder="1"/>
    <xf numFmtId="4" fontId="11" fillId="0" borderId="14" xfId="0" applyNumberFormat="1" applyFont="1" applyBorder="1"/>
    <xf numFmtId="1" fontId="11" fillId="0" borderId="14" xfId="0" applyNumberFormat="1" applyFont="1" applyBorder="1"/>
    <xf numFmtId="3" fontId="11" fillId="0" borderId="15" xfId="0" applyNumberFormat="1" applyFont="1" applyBorder="1"/>
    <xf numFmtId="2" fontId="11" fillId="0" borderId="15" xfId="0" applyNumberFormat="1" applyFont="1" applyBorder="1"/>
    <xf numFmtId="4" fontId="11" fillId="0" borderId="15" xfId="0" applyNumberFormat="1" applyFont="1" applyBorder="1"/>
    <xf numFmtId="1" fontId="11" fillId="0" borderId="15" xfId="0" applyNumberFormat="1" applyFont="1" applyBorder="1"/>
    <xf numFmtId="0" fontId="11" fillId="0" borderId="16" xfId="0" applyFont="1" applyBorder="1"/>
    <xf numFmtId="1" fontId="6" fillId="0" borderId="16" xfId="0" applyNumberFormat="1" applyFont="1" applyBorder="1"/>
    <xf numFmtId="0" fontId="11" fillId="0" borderId="15" xfId="0" applyFont="1" applyBorder="1"/>
    <xf numFmtId="0" fontId="6" fillId="0" borderId="15" xfId="0" applyFont="1" applyBorder="1"/>
    <xf numFmtId="1" fontId="6" fillId="0" borderId="15" xfId="0" applyNumberFormat="1" applyFont="1" applyBorder="1"/>
    <xf numFmtId="3" fontId="6" fillId="0" borderId="15" xfId="0" applyNumberFormat="1" applyFont="1" applyBorder="1" applyAlignment="1">
      <alignment horizontal="center" vertical="center"/>
    </xf>
    <xf numFmtId="1" fontId="6" fillId="0" borderId="3" xfId="0" applyNumberFormat="1" applyFont="1" applyBorder="1"/>
    <xf numFmtId="3" fontId="11" fillId="0" borderId="7" xfId="0" applyNumberFormat="1" applyFont="1" applyBorder="1"/>
    <xf numFmtId="0" fontId="11" fillId="0" borderId="4" xfId="0" applyFont="1" applyBorder="1" applyAlignment="1">
      <alignment horizontal="left" vertical="center"/>
    </xf>
    <xf numFmtId="164" fontId="11" fillId="0" borderId="6" xfId="0" applyNumberFormat="1" applyFont="1" applyBorder="1"/>
    <xf numFmtId="167" fontId="11" fillId="0" borderId="5" xfId="0" applyNumberFormat="1" applyFont="1" applyBorder="1"/>
    <xf numFmtId="3" fontId="9" fillId="0" borderId="3" xfId="0" applyNumberFormat="1" applyFont="1" applyBorder="1" applyAlignment="1">
      <alignment horizontal="center"/>
    </xf>
    <xf numFmtId="167" fontId="11" fillId="0" borderId="14" xfId="0" applyNumberFormat="1" applyFont="1" applyBorder="1"/>
    <xf numFmtId="167" fontId="6" fillId="0" borderId="2" xfId="0" applyNumberFormat="1" applyFont="1" applyBorder="1" applyAlignment="1">
      <alignment horizontal="center"/>
    </xf>
    <xf numFmtId="3" fontId="11" fillId="0" borderId="5" xfId="1" applyNumberFormat="1" applyFont="1" applyBorder="1" applyAlignment="1">
      <alignment horizontal="left"/>
    </xf>
    <xf numFmtId="164" fontId="13" fillId="0" borderId="5" xfId="0" applyNumberFormat="1" applyFont="1" applyBorder="1"/>
    <xf numFmtId="0" fontId="12" fillId="0" borderId="2" xfId="0" applyFont="1" applyBorder="1"/>
    <xf numFmtId="0" fontId="12" fillId="0" borderId="16" xfId="0" applyFont="1" applyBorder="1"/>
    <xf numFmtId="2" fontId="6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left"/>
    </xf>
    <xf numFmtId="2" fontId="5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4" fontId="11" fillId="0" borderId="14" xfId="0" applyNumberFormat="1" applyFont="1" applyBorder="1"/>
    <xf numFmtId="4" fontId="6" fillId="0" borderId="16" xfId="0" applyNumberFormat="1" applyFont="1" applyBorder="1" applyAlignment="1">
      <alignment vertical="center"/>
    </xf>
    <xf numFmtId="4" fontId="6" fillId="0" borderId="17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1" fontId="6" fillId="0" borderId="16" xfId="0" applyNumberFormat="1" applyFont="1" applyBorder="1" applyAlignment="1">
      <alignment vertical="center"/>
    </xf>
    <xf numFmtId="1" fontId="6" fillId="0" borderId="17" xfId="0" applyNumberFormat="1" applyFont="1" applyBorder="1" applyAlignment="1">
      <alignment vertical="center"/>
    </xf>
    <xf numFmtId="1" fontId="6" fillId="0" borderId="3" xfId="0" applyNumberFormat="1" applyFont="1" applyBorder="1" applyAlignment="1">
      <alignment vertical="center"/>
    </xf>
    <xf numFmtId="0" fontId="7" fillId="0" borderId="20" xfId="0" applyFont="1" applyBorder="1" applyAlignment="1">
      <alignment horizontal="center"/>
    </xf>
    <xf numFmtId="3" fontId="11" fillId="0" borderId="20" xfId="0" applyNumberFormat="1" applyFont="1" applyBorder="1"/>
    <xf numFmtId="2" fontId="11" fillId="0" borderId="20" xfId="0" applyNumberFormat="1" applyFont="1" applyBorder="1"/>
    <xf numFmtId="4" fontId="11" fillId="0" borderId="20" xfId="0" applyNumberFormat="1" applyFont="1" applyBorder="1"/>
    <xf numFmtId="1" fontId="11" fillId="0" borderId="20" xfId="0" applyNumberFormat="1" applyFont="1" applyBorder="1"/>
    <xf numFmtId="0" fontId="7" fillId="0" borderId="2" xfId="0" applyFont="1" applyBorder="1" applyAlignment="1">
      <alignment horizontal="center"/>
    </xf>
    <xf numFmtId="2" fontId="11" fillId="0" borderId="2" xfId="0" applyNumberFormat="1" applyFont="1" applyBorder="1"/>
    <xf numFmtId="0" fontId="7" fillId="0" borderId="20" xfId="0" applyFont="1" applyBorder="1"/>
    <xf numFmtId="164" fontId="11" fillId="0" borderId="20" xfId="0" applyNumberFormat="1" applyFont="1" applyBorder="1"/>
    <xf numFmtId="167" fontId="6" fillId="0" borderId="2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3" fillId="0" borderId="5" xfId="0" applyNumberFormat="1" applyFont="1" applyBorder="1"/>
    <xf numFmtId="2" fontId="13" fillId="0" borderId="5" xfId="0" applyNumberFormat="1" applyFont="1" applyBorder="1"/>
    <xf numFmtId="2" fontId="12" fillId="0" borderId="2" xfId="0" applyNumberFormat="1" applyFont="1" applyBorder="1"/>
    <xf numFmtId="2" fontId="12" fillId="0" borderId="2" xfId="0" applyNumberFormat="1" applyFont="1" applyBorder="1" applyAlignment="1">
      <alignment vertical="center"/>
    </xf>
    <xf numFmtId="4" fontId="10" fillId="0" borderId="2" xfId="0" applyNumberFormat="1" applyFont="1" applyBorder="1"/>
    <xf numFmtId="3" fontId="13" fillId="0" borderId="5" xfId="0" applyNumberFormat="1" applyFont="1" applyBorder="1"/>
    <xf numFmtId="0" fontId="4" fillId="0" borderId="2" xfId="0" applyFont="1" applyBorder="1" applyAlignment="1">
      <alignment horizontal="left"/>
    </xf>
    <xf numFmtId="2" fontId="12" fillId="0" borderId="3" xfId="0" applyNumberFormat="1" applyFont="1" applyBorder="1" applyAlignment="1">
      <alignment vertical="center"/>
    </xf>
    <xf numFmtId="2" fontId="6" fillId="0" borderId="3" xfId="0" applyNumberFormat="1" applyFont="1" applyBorder="1" applyAlignment="1">
      <alignment vertical="center"/>
    </xf>
    <xf numFmtId="0" fontId="4" fillId="0" borderId="2" xfId="0" applyFont="1" applyBorder="1" applyAlignment="1">
      <alignment horizontal="right"/>
    </xf>
    <xf numFmtId="4" fontId="13" fillId="0" borderId="2" xfId="0" applyNumberFormat="1" applyFont="1" applyBorder="1"/>
    <xf numFmtId="4" fontId="9" fillId="0" borderId="5" xfId="0" applyNumberFormat="1" applyFont="1" applyBorder="1"/>
    <xf numFmtId="0" fontId="12" fillId="2" borderId="16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2" fontId="6" fillId="2" borderId="16" xfId="0" applyNumberFormat="1" applyFont="1" applyFill="1" applyBorder="1" applyAlignment="1">
      <alignment vertical="center"/>
    </xf>
    <xf numFmtId="3" fontId="11" fillId="2" borderId="5" xfId="0" applyNumberFormat="1" applyFont="1" applyFill="1" applyBorder="1"/>
    <xf numFmtId="4" fontId="11" fillId="2" borderId="5" xfId="0" applyNumberFormat="1" applyFont="1" applyFill="1" applyBorder="1"/>
    <xf numFmtId="1" fontId="11" fillId="2" borderId="5" xfId="0" applyNumberFormat="1" applyFont="1" applyFill="1" applyBorder="1"/>
    <xf numFmtId="2" fontId="11" fillId="2" borderId="5" xfId="0" applyNumberFormat="1" applyFont="1" applyFill="1" applyBorder="1"/>
    <xf numFmtId="4" fontId="13" fillId="2" borderId="5" xfId="0" applyNumberFormat="1" applyFont="1" applyFill="1" applyBorder="1"/>
    <xf numFmtId="0" fontId="3" fillId="2" borderId="0" xfId="0" applyFont="1" applyFill="1"/>
    <xf numFmtId="0" fontId="6" fillId="2" borderId="16" xfId="0" applyFont="1" applyFill="1" applyBorder="1" applyAlignment="1">
      <alignment vertical="center"/>
    </xf>
    <xf numFmtId="167" fontId="13" fillId="0" borderId="5" xfId="0" applyNumberFormat="1" applyFont="1" applyBorder="1"/>
    <xf numFmtId="2" fontId="9" fillId="0" borderId="5" xfId="0" applyNumberFormat="1" applyFont="1" applyBorder="1"/>
    <xf numFmtId="167" fontId="11" fillId="0" borderId="20" xfId="0" applyNumberFormat="1" applyFont="1" applyBorder="1"/>
    <xf numFmtId="3" fontId="3" fillId="0" borderId="5" xfId="1" applyNumberFormat="1" applyFont="1" applyBorder="1" applyAlignment="1">
      <alignment horizontal="left"/>
    </xf>
    <xf numFmtId="4" fontId="13" fillId="0" borderId="20" xfId="0" applyNumberFormat="1" applyFont="1" applyBorder="1"/>
    <xf numFmtId="3" fontId="7" fillId="2" borderId="5" xfId="1" applyNumberFormat="1" applyFont="1" applyFill="1" applyBorder="1" applyAlignment="1">
      <alignment horizontal="left"/>
    </xf>
    <xf numFmtId="0" fontId="7" fillId="2" borderId="5" xfId="0" applyFont="1" applyFill="1" applyBorder="1"/>
    <xf numFmtId="3" fontId="3" fillId="2" borderId="5" xfId="1" applyNumberFormat="1" applyFont="1" applyFill="1" applyBorder="1" applyAlignment="1">
      <alignment horizontal="left"/>
    </xf>
    <xf numFmtId="3" fontId="13" fillId="0" borderId="14" xfId="0" applyNumberFormat="1" applyFont="1" applyBorder="1"/>
    <xf numFmtId="3" fontId="9" fillId="0" borderId="5" xfId="3" applyNumberFormat="1" applyFont="1" applyBorder="1" applyAlignment="1">
      <alignment horizontal="left" vertical="center" wrapText="1"/>
    </xf>
    <xf numFmtId="3" fontId="9" fillId="0" borderId="2" xfId="3" applyNumberFormat="1" applyFont="1" applyBorder="1" applyAlignment="1">
      <alignment horizontal="left" vertical="center" wrapText="1"/>
    </xf>
    <xf numFmtId="167" fontId="13" fillId="0" borderId="2" xfId="0" applyNumberFormat="1" applyFont="1" applyBorder="1"/>
    <xf numFmtId="3" fontId="9" fillId="0" borderId="20" xfId="3" applyNumberFormat="1" applyFont="1" applyBorder="1" applyAlignment="1">
      <alignment horizontal="left" vertical="center" wrapText="1"/>
    </xf>
    <xf numFmtId="167" fontId="13" fillId="0" borderId="20" xfId="0" applyNumberFormat="1" applyFont="1" applyBorder="1"/>
    <xf numFmtId="0" fontId="7" fillId="0" borderId="4" xfId="0" applyFont="1" applyBorder="1" applyAlignment="1">
      <alignment horizontal="left"/>
    </xf>
    <xf numFmtId="3" fontId="7" fillId="0" borderId="4" xfId="0" applyNumberFormat="1" applyFont="1" applyBorder="1"/>
    <xf numFmtId="2" fontId="7" fillId="0" borderId="4" xfId="0" applyNumberFormat="1" applyFont="1" applyBorder="1"/>
    <xf numFmtId="4" fontId="7" fillId="0" borderId="4" xfId="0" applyNumberFormat="1" applyFont="1" applyBorder="1"/>
    <xf numFmtId="1" fontId="7" fillId="0" borderId="4" xfId="0" applyNumberFormat="1" applyFont="1" applyBorder="1"/>
    <xf numFmtId="0" fontId="7" fillId="2" borderId="5" xfId="0" applyFont="1" applyFill="1" applyBorder="1" applyAlignment="1">
      <alignment horizontal="center"/>
    </xf>
    <xf numFmtId="167" fontId="11" fillId="2" borderId="5" xfId="0" applyNumberFormat="1" applyFont="1" applyFill="1" applyBorder="1"/>
    <xf numFmtId="3" fontId="3" fillId="0" borderId="0" xfId="0" applyNumberFormat="1" applyFont="1"/>
    <xf numFmtId="4" fontId="13" fillId="0" borderId="6" xfId="0" applyNumberFormat="1" applyFont="1" applyBorder="1"/>
    <xf numFmtId="2" fontId="13" fillId="0" borderId="20" xfId="0" applyNumberFormat="1" applyFont="1" applyBorder="1"/>
    <xf numFmtId="3" fontId="9" fillId="0" borderId="5" xfId="0" applyNumberFormat="1" applyFont="1" applyBorder="1"/>
    <xf numFmtId="2" fontId="10" fillId="0" borderId="2" xfId="0" applyNumberFormat="1" applyFont="1" applyBorder="1"/>
    <xf numFmtId="3" fontId="13" fillId="2" borderId="5" xfId="0" applyNumberFormat="1" applyFont="1" applyFill="1" applyBorder="1"/>
    <xf numFmtId="0" fontId="1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1" fontId="11" fillId="2" borderId="14" xfId="0" applyNumberFormat="1" applyFont="1" applyFill="1" applyBorder="1"/>
    <xf numFmtId="1" fontId="3" fillId="0" borderId="0" xfId="0" applyNumberFormat="1" applyFont="1"/>
    <xf numFmtId="1" fontId="11" fillId="2" borderId="6" xfId="0" applyNumberFormat="1" applyFont="1" applyFill="1" applyBorder="1"/>
    <xf numFmtId="3" fontId="9" fillId="0" borderId="2" xfId="0" applyNumberFormat="1" applyFont="1" applyBorder="1" applyAlignment="1">
      <alignment horizontal="center" wrapText="1"/>
    </xf>
    <xf numFmtId="2" fontId="11" fillId="2" borderId="20" xfId="0" applyNumberFormat="1" applyFont="1" applyFill="1" applyBorder="1"/>
    <xf numFmtId="4" fontId="3" fillId="2" borderId="0" xfId="0" applyNumberFormat="1" applyFont="1" applyFill="1"/>
    <xf numFmtId="164" fontId="12" fillId="2" borderId="2" xfId="0" applyNumberFormat="1" applyFont="1" applyFill="1" applyBorder="1"/>
    <xf numFmtId="0" fontId="11" fillId="2" borderId="0" xfId="0" applyFont="1" applyFill="1" applyAlignment="1">
      <alignment horizontal="center"/>
    </xf>
    <xf numFmtId="0" fontId="9" fillId="2" borderId="0" xfId="0" applyFont="1" applyFill="1"/>
    <xf numFmtId="0" fontId="1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2" fontId="3" fillId="2" borderId="0" xfId="0" applyNumberFormat="1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3" fontId="17" fillId="0" borderId="2" xfId="0" applyNumberFormat="1" applyFont="1" applyBorder="1" applyAlignment="1">
      <alignment horizontal="center" wrapText="1"/>
    </xf>
    <xf numFmtId="164" fontId="6" fillId="2" borderId="2" xfId="0" applyNumberFormat="1" applyFont="1" applyFill="1" applyBorder="1"/>
    <xf numFmtId="164" fontId="6" fillId="2" borderId="7" xfId="0" applyNumberFormat="1" applyFont="1" applyFill="1" applyBorder="1"/>
    <xf numFmtId="166" fontId="3" fillId="2" borderId="0" xfId="0" applyNumberFormat="1" applyFont="1" applyFill="1"/>
    <xf numFmtId="0" fontId="10" fillId="0" borderId="2" xfId="0" applyFont="1" applyBorder="1" applyAlignment="1">
      <alignment horizontal="center" vertical="center"/>
    </xf>
    <xf numFmtId="164" fontId="12" fillId="2" borderId="7" xfId="0" applyNumberFormat="1" applyFont="1" applyFill="1" applyBorder="1"/>
    <xf numFmtId="0" fontId="3" fillId="0" borderId="0" xfId="0" applyFont="1" applyAlignment="1">
      <alignment horizontal="center" vertical="center"/>
    </xf>
    <xf numFmtId="2" fontId="11" fillId="0" borderId="4" xfId="0" applyNumberFormat="1" applyFont="1" applyBorder="1"/>
    <xf numFmtId="4" fontId="11" fillId="2" borderId="6" xfId="0" applyNumberFormat="1" applyFont="1" applyFill="1" applyBorder="1"/>
    <xf numFmtId="1" fontId="13" fillId="2" borderId="5" xfId="0" applyNumberFormat="1" applyFont="1" applyFill="1" applyBorder="1"/>
    <xf numFmtId="1" fontId="13" fillId="0" borderId="5" xfId="0" applyNumberFormat="1" applyFont="1" applyBorder="1"/>
    <xf numFmtId="2" fontId="6" fillId="2" borderId="3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164" fontId="11" fillId="2" borderId="5" xfId="0" applyNumberFormat="1" applyFont="1" applyFill="1" applyBorder="1"/>
    <xf numFmtId="2" fontId="13" fillId="2" borderId="5" xfId="0" applyNumberFormat="1" applyFont="1" applyFill="1" applyBorder="1"/>
    <xf numFmtId="4" fontId="9" fillId="2" borderId="5" xfId="0" applyNumberFormat="1" applyFont="1" applyFill="1" applyBorder="1"/>
    <xf numFmtId="167" fontId="13" fillId="2" borderId="5" xfId="0" applyNumberFormat="1" applyFont="1" applyFill="1" applyBorder="1"/>
    <xf numFmtId="0" fontId="3" fillId="2" borderId="5" xfId="0" applyFont="1" applyFill="1" applyBorder="1" applyAlignment="1">
      <alignment horizontal="center"/>
    </xf>
    <xf numFmtId="164" fontId="11" fillId="2" borderId="6" xfId="0" applyNumberFormat="1" applyFont="1" applyFill="1" applyBorder="1"/>
    <xf numFmtId="0" fontId="7" fillId="2" borderId="6" xfId="0" applyFont="1" applyFill="1" applyBorder="1"/>
    <xf numFmtId="0" fontId="10" fillId="2" borderId="18" xfId="0" applyFont="1" applyFill="1" applyBorder="1"/>
    <xf numFmtId="0" fontId="10" fillId="2" borderId="7" xfId="0" applyFont="1" applyFill="1" applyBorder="1"/>
    <xf numFmtId="3" fontId="11" fillId="2" borderId="2" xfId="0" applyNumberFormat="1" applyFont="1" applyFill="1" applyBorder="1"/>
    <xf numFmtId="2" fontId="12" fillId="2" borderId="2" xfId="0" applyNumberFormat="1" applyFont="1" applyFill="1" applyBorder="1"/>
    <xf numFmtId="4" fontId="11" fillId="2" borderId="2" xfId="0" applyNumberFormat="1" applyFont="1" applyFill="1" applyBorder="1"/>
    <xf numFmtId="1" fontId="11" fillId="2" borderId="2" xfId="0" applyNumberFormat="1" applyFont="1" applyFill="1" applyBorder="1"/>
    <xf numFmtId="1" fontId="11" fillId="2" borderId="16" xfId="0" applyNumberFormat="1" applyFont="1" applyFill="1" applyBorder="1"/>
    <xf numFmtId="2" fontId="6" fillId="2" borderId="2" xfId="0" applyNumberFormat="1" applyFont="1" applyFill="1" applyBorder="1"/>
    <xf numFmtId="1" fontId="11" fillId="2" borderId="3" xfId="0" applyNumberFormat="1" applyFont="1" applyFill="1" applyBorder="1"/>
    <xf numFmtId="2" fontId="6" fillId="2" borderId="2" xfId="0" applyNumberFormat="1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/>
    </xf>
    <xf numFmtId="3" fontId="11" fillId="2" borderId="15" xfId="0" applyNumberFormat="1" applyFont="1" applyFill="1" applyBorder="1"/>
    <xf numFmtId="2" fontId="11" fillId="2" borderId="15" xfId="0" applyNumberFormat="1" applyFont="1" applyFill="1" applyBorder="1"/>
    <xf numFmtId="4" fontId="11" fillId="2" borderId="15" xfId="0" applyNumberFormat="1" applyFont="1" applyFill="1" applyBorder="1"/>
    <xf numFmtId="1" fontId="11" fillId="2" borderId="15" xfId="0" applyNumberFormat="1" applyFont="1" applyFill="1" applyBorder="1"/>
    <xf numFmtId="3" fontId="11" fillId="2" borderId="7" xfId="0" applyNumberFormat="1" applyFont="1" applyFill="1" applyBorder="1"/>
    <xf numFmtId="2" fontId="9" fillId="2" borderId="5" xfId="0" applyNumberFormat="1" applyFont="1" applyFill="1" applyBorder="1"/>
    <xf numFmtId="0" fontId="11" fillId="2" borderId="20" xfId="0" applyFont="1" applyFill="1" applyBorder="1" applyAlignment="1">
      <alignment horizontal="center"/>
    </xf>
    <xf numFmtId="0" fontId="7" fillId="2" borderId="20" xfId="0" applyFont="1" applyFill="1" applyBorder="1"/>
    <xf numFmtId="3" fontId="11" fillId="2" borderId="20" xfId="0" applyNumberFormat="1" applyFont="1" applyFill="1" applyBorder="1"/>
    <xf numFmtId="4" fontId="11" fillId="2" borderId="20" xfId="0" applyNumberFormat="1" applyFont="1" applyFill="1" applyBorder="1"/>
    <xf numFmtId="4" fontId="6" fillId="2" borderId="2" xfId="0" applyNumberFormat="1" applyFont="1" applyFill="1" applyBorder="1"/>
    <xf numFmtId="1" fontId="6" fillId="2" borderId="2" xfId="0" applyNumberFormat="1" applyFont="1" applyFill="1" applyBorder="1"/>
    <xf numFmtId="0" fontId="11" fillId="2" borderId="2" xfId="0" applyFont="1" applyFill="1" applyBorder="1"/>
    <xf numFmtId="0" fontId="6" fillId="2" borderId="2" xfId="0" applyFont="1" applyFill="1" applyBorder="1"/>
    <xf numFmtId="0" fontId="6" fillId="2" borderId="16" xfId="0" applyFont="1" applyFill="1" applyBorder="1"/>
    <xf numFmtId="3" fontId="6" fillId="2" borderId="3" xfId="0" applyNumberFormat="1" applyFont="1" applyFill="1" applyBorder="1" applyAlignment="1">
      <alignment horizontal="center" vertical="center"/>
    </xf>
    <xf numFmtId="4" fontId="10" fillId="2" borderId="2" xfId="0" applyNumberFormat="1" applyFont="1" applyFill="1" applyBorder="1"/>
    <xf numFmtId="0" fontId="6" fillId="2" borderId="2" xfId="0" applyFont="1" applyFill="1" applyBorder="1" applyAlignment="1">
      <alignment vertical="center"/>
    </xf>
    <xf numFmtId="2" fontId="6" fillId="2" borderId="2" xfId="0" applyNumberFormat="1" applyFont="1" applyFill="1" applyBorder="1" applyAlignment="1">
      <alignment vertical="center"/>
    </xf>
    <xf numFmtId="167" fontId="6" fillId="2" borderId="2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/>
    </xf>
    <xf numFmtId="167" fontId="6" fillId="2" borderId="2" xfId="0" applyNumberFormat="1" applyFont="1" applyFill="1" applyBorder="1" applyAlignment="1">
      <alignment horizontal="center"/>
    </xf>
    <xf numFmtId="0" fontId="11" fillId="2" borderId="16" xfId="0" applyFont="1" applyFill="1" applyBorder="1"/>
    <xf numFmtId="1" fontId="6" fillId="2" borderId="16" xfId="0" applyNumberFormat="1" applyFont="1" applyFill="1" applyBorder="1"/>
    <xf numFmtId="0" fontId="11" fillId="2" borderId="15" xfId="0" applyFont="1" applyFill="1" applyBorder="1"/>
    <xf numFmtId="0" fontId="6" fillId="2" borderId="15" xfId="0" applyFont="1" applyFill="1" applyBorder="1"/>
    <xf numFmtId="1" fontId="6" fillId="2" borderId="15" xfId="0" applyNumberFormat="1" applyFont="1" applyFill="1" applyBorder="1"/>
    <xf numFmtId="3" fontId="6" fillId="2" borderId="15" xfId="0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/>
    </xf>
    <xf numFmtId="167" fontId="11" fillId="2" borderId="20" xfId="0" applyNumberFormat="1" applyFont="1" applyFill="1" applyBorder="1"/>
    <xf numFmtId="4" fontId="12" fillId="2" borderId="2" xfId="0" applyNumberFormat="1" applyFont="1" applyFill="1" applyBorder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3" fontId="17" fillId="2" borderId="2" xfId="0" applyNumberFormat="1" applyFont="1" applyFill="1" applyBorder="1" applyAlignment="1">
      <alignment horizontal="center" wrapText="1"/>
    </xf>
    <xf numFmtId="167" fontId="3" fillId="2" borderId="0" xfId="0" applyNumberFormat="1" applyFont="1" applyFill="1"/>
    <xf numFmtId="1" fontId="3" fillId="2" borderId="0" xfId="0" applyNumberFormat="1" applyFont="1" applyFill="1"/>
    <xf numFmtId="1" fontId="11" fillId="2" borderId="20" xfId="0" applyNumberFormat="1" applyFont="1" applyFill="1" applyBorder="1"/>
    <xf numFmtId="0" fontId="12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1" fontId="13" fillId="2" borderId="20" xfId="0" applyNumberFormat="1" applyFont="1" applyFill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164" fontId="10" fillId="0" borderId="2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7" fontId="6" fillId="0" borderId="18" xfId="0" applyNumberFormat="1" applyFont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3" fontId="6" fillId="0" borderId="16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5" fillId="0" borderId="1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3" fontId="10" fillId="0" borderId="16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167" fontId="6" fillId="2" borderId="18" xfId="0" applyNumberFormat="1" applyFont="1" applyFill="1" applyBorder="1" applyAlignment="1">
      <alignment horizontal="center" vertical="center"/>
    </xf>
    <xf numFmtId="167" fontId="6" fillId="2" borderId="7" xfId="0" applyNumberFormat="1" applyFont="1" applyFill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/>
    </xf>
    <xf numFmtId="2" fontId="12" fillId="0" borderId="10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2" fontId="12" fillId="0" borderId="11" xfId="0" applyNumberFormat="1" applyFont="1" applyBorder="1" applyAlignment="1">
      <alignment horizontal="center" vertical="center" wrapText="1"/>
    </xf>
    <xf numFmtId="2" fontId="12" fillId="0" borderId="12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13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4" fontId="12" fillId="0" borderId="16" xfId="0" applyNumberFormat="1" applyFont="1" applyBorder="1" applyAlignment="1">
      <alignment horizontal="center" vertical="center"/>
    </xf>
    <xf numFmtId="4" fontId="12" fillId="0" borderId="17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" fontId="12" fillId="0" borderId="16" xfId="0" applyNumberFormat="1" applyFont="1" applyBorder="1" applyAlignment="1">
      <alignment horizontal="center" vertical="center"/>
    </xf>
    <xf numFmtId="1" fontId="12" fillId="0" borderId="17" xfId="0" applyNumberFormat="1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164" fontId="6" fillId="0" borderId="16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65" fontId="12" fillId="2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165" fontId="6" fillId="2" borderId="18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 textRotation="45"/>
    </xf>
    <xf numFmtId="3" fontId="10" fillId="0" borderId="3" xfId="0" applyNumberFormat="1" applyFont="1" applyBorder="1" applyAlignment="1">
      <alignment horizontal="center" vertical="center" textRotation="45"/>
    </xf>
    <xf numFmtId="1" fontId="6" fillId="0" borderId="18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2" fontId="6" fillId="2" borderId="18" xfId="0" applyNumberFormat="1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2" fontId="10" fillId="0" borderId="16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2" fontId="12" fillId="0" borderId="16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166" fontId="3" fillId="2" borderId="0" xfId="0" applyNumberFormat="1" applyFont="1" applyFill="1" applyAlignment="1">
      <alignment horizontal="center"/>
    </xf>
    <xf numFmtId="0" fontId="1" fillId="0" borderId="3" xfId="0" applyFont="1" applyBorder="1"/>
    <xf numFmtId="1" fontId="6" fillId="0" borderId="16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0" fontId="16" fillId="0" borderId="3" xfId="0" applyFont="1" applyBorder="1"/>
    <xf numFmtId="1" fontId="11" fillId="0" borderId="16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 vertical="center" wrapText="1"/>
    </xf>
    <xf numFmtId="2" fontId="2" fillId="2" borderId="17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 wrapText="1"/>
    </xf>
    <xf numFmtId="2" fontId="6" fillId="2" borderId="17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3" fontId="10" fillId="2" borderId="16" xfId="0" applyNumberFormat="1" applyFont="1" applyFill="1" applyBorder="1" applyAlignment="1">
      <alignment horizontal="center" vertical="center" textRotation="45"/>
    </xf>
    <xf numFmtId="3" fontId="10" fillId="2" borderId="3" xfId="0" applyNumberFormat="1" applyFont="1" applyFill="1" applyBorder="1" applyAlignment="1">
      <alignment horizontal="center" vertical="center" textRotation="45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/>
    </xf>
    <xf numFmtId="1" fontId="6" fillId="2" borderId="16" xfId="0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2" fontId="10" fillId="2" borderId="16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4" fontId="12" fillId="2" borderId="16" xfId="0" applyNumberFormat="1" applyFont="1" applyFill="1" applyBorder="1" applyAlignment="1">
      <alignment horizontal="center" vertical="center"/>
    </xf>
    <xf numFmtId="4" fontId="12" fillId="2" borderId="3" xfId="0" applyNumberFormat="1" applyFont="1" applyFill="1" applyBorder="1" applyAlignment="1">
      <alignment horizontal="center" vertical="center"/>
    </xf>
    <xf numFmtId="4" fontId="12" fillId="2" borderId="17" xfId="0" applyNumberFormat="1" applyFont="1" applyFill="1" applyBorder="1" applyAlignment="1">
      <alignment horizontal="center" vertical="center"/>
    </xf>
    <xf numFmtId="4" fontId="6" fillId="2" borderId="16" xfId="0" applyNumberFormat="1" applyFont="1" applyFill="1" applyBorder="1" applyAlignment="1">
      <alignment horizontal="center" vertical="center"/>
    </xf>
    <xf numFmtId="4" fontId="6" fillId="2" borderId="17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center" vertical="center"/>
    </xf>
    <xf numFmtId="2" fontId="12" fillId="2" borderId="18" xfId="0" applyNumberFormat="1" applyFont="1" applyFill="1" applyBorder="1" applyAlignment="1">
      <alignment horizontal="center"/>
    </xf>
    <xf numFmtId="2" fontId="12" fillId="2" borderId="7" xfId="0" applyNumberFormat="1" applyFont="1" applyFill="1" applyBorder="1" applyAlignment="1">
      <alignment horizontal="center"/>
    </xf>
    <xf numFmtId="2" fontId="12" fillId="2" borderId="10" xfId="0" applyNumberFormat="1" applyFont="1" applyFill="1" applyBorder="1" applyAlignment="1">
      <alignment horizontal="center" vertical="center" wrapText="1"/>
    </xf>
    <xf numFmtId="2" fontId="12" fillId="2" borderId="8" xfId="0" applyNumberFormat="1" applyFont="1" applyFill="1" applyBorder="1" applyAlignment="1">
      <alignment horizontal="center" vertical="center" wrapText="1"/>
    </xf>
    <xf numFmtId="2" fontId="12" fillId="2" borderId="11" xfId="0" applyNumberFormat="1" applyFont="1" applyFill="1" applyBorder="1" applyAlignment="1">
      <alignment horizontal="center" vertical="center" wrapText="1"/>
    </xf>
    <xf numFmtId="2" fontId="12" fillId="2" borderId="12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2" fillId="2" borderId="13" xfId="0" applyNumberFormat="1" applyFont="1" applyFill="1" applyBorder="1" applyAlignment="1">
      <alignment horizontal="center" vertical="center" wrapText="1"/>
    </xf>
    <xf numFmtId="164" fontId="12" fillId="2" borderId="16" xfId="0" applyNumberFormat="1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2" fontId="6" fillId="2" borderId="18" xfId="0" applyNumberFormat="1" applyFont="1" applyFill="1" applyBorder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3" xfId="0" applyNumberFormat="1" applyFont="1" applyFill="1" applyBorder="1" applyAlignment="1">
      <alignment horizontal="center" vertical="center"/>
    </xf>
    <xf numFmtId="3" fontId="12" fillId="2" borderId="17" xfId="0" applyNumberFormat="1" applyFont="1" applyFill="1" applyBorder="1" applyAlignment="1">
      <alignment horizontal="center" vertical="center"/>
    </xf>
    <xf numFmtId="3" fontId="6" fillId="2" borderId="16" xfId="0" applyNumberFormat="1" applyFont="1" applyFill="1" applyBorder="1" applyAlignment="1">
      <alignment horizontal="center" vertical="center" textRotation="45"/>
    </xf>
    <xf numFmtId="3" fontId="6" fillId="2" borderId="3" xfId="0" applyNumberFormat="1" applyFont="1" applyFill="1" applyBorder="1" applyAlignment="1">
      <alignment horizontal="center" vertical="center" textRotation="45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2" fontId="12" fillId="2" borderId="16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>
      <alignment horizontal="center" vertical="center" wrapText="1"/>
    </xf>
    <xf numFmtId="2" fontId="6" fillId="2" borderId="8" xfId="0" applyNumberFormat="1" applyFont="1" applyFill="1" applyBorder="1" applyAlignment="1">
      <alignment horizontal="center" vertical="center" wrapText="1"/>
    </xf>
    <xf numFmtId="2" fontId="6" fillId="2" borderId="11" xfId="0" applyNumberFormat="1" applyFont="1" applyFill="1" applyBorder="1" applyAlignment="1">
      <alignment horizontal="center" vertical="center" wrapText="1"/>
    </xf>
    <xf numFmtId="2" fontId="6" fillId="2" borderId="12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13" xfId="0" applyNumberFormat="1" applyFont="1" applyFill="1" applyBorder="1" applyAlignment="1">
      <alignment horizontal="center" vertical="center" wrapText="1"/>
    </xf>
    <xf numFmtId="164" fontId="6" fillId="2" borderId="16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3" fontId="12" fillId="0" borderId="16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 textRotation="45"/>
    </xf>
    <xf numFmtId="3" fontId="12" fillId="0" borderId="3" xfId="0" applyNumberFormat="1" applyFont="1" applyBorder="1" applyAlignment="1">
      <alignment horizontal="center" vertical="center" textRotation="45"/>
    </xf>
    <xf numFmtId="3" fontId="14" fillId="0" borderId="16" xfId="0" applyNumberFormat="1" applyFont="1" applyBorder="1" applyAlignment="1">
      <alignment horizontal="center" vertical="center" textRotation="45"/>
    </xf>
    <xf numFmtId="3" fontId="14" fillId="0" borderId="3" xfId="0" applyNumberFormat="1" applyFont="1" applyBorder="1" applyAlignment="1">
      <alignment horizontal="center" vertical="center" textRotation="45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3" fontId="12" fillId="0" borderId="17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12" fillId="0" borderId="16" xfId="0" applyNumberFormat="1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2" fontId="12" fillId="0" borderId="18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2" fontId="6" fillId="0" borderId="16" xfId="0" applyNumberFormat="1" applyFont="1" applyBorder="1" applyAlignment="1">
      <alignment horizontal="center" vertical="center" wrapText="1"/>
    </xf>
    <xf numFmtId="2" fontId="6" fillId="0" borderId="17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 textRotation="45"/>
    </xf>
    <xf numFmtId="3" fontId="6" fillId="0" borderId="3" xfId="0" applyNumberFormat="1" applyFont="1" applyBorder="1" applyAlignment="1">
      <alignment horizontal="center" vertical="center" textRotation="45"/>
    </xf>
    <xf numFmtId="1" fontId="6" fillId="0" borderId="16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65" fontId="12" fillId="2" borderId="18" xfId="0" applyNumberFormat="1" applyFont="1" applyFill="1" applyBorder="1" applyAlignment="1">
      <alignment horizontal="center"/>
    </xf>
    <xf numFmtId="165" fontId="12" fillId="2" borderId="7" xfId="0" applyNumberFormat="1" applyFont="1" applyFill="1" applyBorder="1" applyAlignment="1">
      <alignment horizontal="center"/>
    </xf>
  </cellXfs>
  <cellStyles count="4">
    <cellStyle name="Comma 2" xfId="2" xr:uid="{00000000-0005-0000-0000-000000000000}"/>
    <cellStyle name="Normal" xfId="0" builtinId="0"/>
    <cellStyle name="Normal_Sheet1" xfId="1" xr:uid="{00000000-0005-0000-0000-000002000000}"/>
    <cellStyle name="Normal_Sheet1_tinh an thang 7_tinh an thang 5 nam 2018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1"/>
  <sheetViews>
    <sheetView tabSelected="1" view="pageLayout" workbookViewId="0">
      <selection activeCell="E11" sqref="E11:F12"/>
    </sheetView>
  </sheetViews>
  <sheetFormatPr defaultColWidth="9.140625" defaultRowHeight="21.6" customHeight="1" x14ac:dyDescent="0.25"/>
  <cols>
    <col min="1" max="1" width="4" style="1" customWidth="1"/>
    <col min="2" max="2" width="12.5703125" style="1" customWidth="1"/>
    <col min="3" max="3" width="8" style="1" customWidth="1"/>
    <col min="4" max="4" width="8.85546875" style="1" customWidth="1"/>
    <col min="5" max="8" width="6.7109375" style="1" customWidth="1"/>
    <col min="9" max="9" width="6.85546875" style="1" customWidth="1"/>
    <col min="10" max="10" width="7.7109375" style="1" customWidth="1"/>
    <col min="11" max="11" width="5.42578125" style="1" customWidth="1"/>
    <col min="12" max="12" width="5.85546875" style="1" customWidth="1"/>
    <col min="13" max="13" width="7.7109375" style="1" customWidth="1"/>
    <col min="14" max="14" width="7.28515625" style="1" customWidth="1"/>
    <col min="15" max="15" width="10" style="1" customWidth="1"/>
    <col min="16" max="16" width="9.85546875" style="1" bestFit="1" customWidth="1"/>
    <col min="17" max="17" width="10.28515625" style="1" bestFit="1" customWidth="1"/>
    <col min="18" max="19" width="9.28515625" style="1" bestFit="1" customWidth="1"/>
    <col min="20" max="20" width="12.42578125" style="1" customWidth="1"/>
    <col min="21" max="21" width="9.28515625" style="1" bestFit="1" customWidth="1"/>
    <col min="22" max="16384" width="9.140625" style="1"/>
  </cols>
  <sheetData>
    <row r="1" spans="1:16" ht="22.15" customHeight="1" x14ac:dyDescent="0.3">
      <c r="A1" s="10" t="s">
        <v>61</v>
      </c>
      <c r="B1" s="7"/>
      <c r="C1" s="7"/>
      <c r="D1" s="7"/>
      <c r="E1" s="7"/>
      <c r="F1" s="378" t="s">
        <v>31</v>
      </c>
      <c r="G1" s="378"/>
      <c r="H1" s="378"/>
      <c r="I1" s="378"/>
      <c r="J1" s="378"/>
      <c r="K1" s="378"/>
      <c r="L1" s="378"/>
      <c r="M1" s="378"/>
      <c r="N1" s="378"/>
      <c r="O1" s="156"/>
      <c r="P1" s="156"/>
    </row>
    <row r="2" spans="1:16" ht="22.15" customHeight="1" x14ac:dyDescent="0.3">
      <c r="A2" s="10"/>
      <c r="B2" s="7"/>
      <c r="C2" s="7"/>
      <c r="D2" s="7"/>
      <c r="E2" s="7"/>
      <c r="F2" s="154"/>
      <c r="G2" s="154"/>
      <c r="H2" s="154"/>
      <c r="I2" s="154"/>
      <c r="J2" s="154"/>
      <c r="K2" s="154"/>
      <c r="L2" s="154"/>
      <c r="M2" s="154"/>
      <c r="N2" s="154"/>
      <c r="O2" s="156"/>
      <c r="P2" s="156"/>
    </row>
    <row r="3" spans="1:16" ht="21" customHeight="1" x14ac:dyDescent="0.25">
      <c r="A3" s="71" t="s">
        <v>196</v>
      </c>
      <c r="B3" s="71"/>
      <c r="C3" s="71"/>
      <c r="D3" s="71"/>
      <c r="E3" s="71"/>
      <c r="F3" s="72"/>
      <c r="G3" s="72"/>
      <c r="H3" s="72"/>
      <c r="I3" s="154"/>
      <c r="J3" s="154"/>
      <c r="K3" s="154"/>
      <c r="L3" s="154"/>
      <c r="M3" s="154"/>
      <c r="N3" s="154"/>
      <c r="O3" s="156"/>
      <c r="P3" s="156"/>
    </row>
    <row r="4" spans="1:16" ht="19.149999999999999" customHeight="1" x14ac:dyDescent="0.25">
      <c r="A4" s="276" t="s">
        <v>88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157"/>
    </row>
    <row r="5" spans="1:16" ht="19.149999999999999" customHeight="1" x14ac:dyDescent="0.25">
      <c r="A5" s="279" t="s">
        <v>99</v>
      </c>
      <c r="B5" s="279"/>
      <c r="C5" s="279"/>
      <c r="D5" s="279"/>
      <c r="E5" s="279" t="s">
        <v>98</v>
      </c>
      <c r="F5" s="279"/>
      <c r="G5" s="279"/>
      <c r="H5" s="279"/>
      <c r="I5" s="279"/>
      <c r="J5" s="279"/>
      <c r="K5" s="279"/>
      <c r="L5" s="279"/>
      <c r="M5" s="279"/>
      <c r="N5" s="279"/>
      <c r="O5" s="157"/>
    </row>
    <row r="6" spans="1:16" ht="19.149999999999999" customHeight="1" x14ac:dyDescent="0.25">
      <c r="A6" s="280" t="s">
        <v>90</v>
      </c>
      <c r="B6" s="280"/>
      <c r="C6" s="280"/>
      <c r="D6" s="280"/>
      <c r="E6" s="283" t="s">
        <v>148</v>
      </c>
      <c r="F6" s="283"/>
      <c r="G6" s="283"/>
      <c r="H6" s="283"/>
      <c r="I6" s="283"/>
      <c r="J6" s="284" t="s">
        <v>179</v>
      </c>
      <c r="K6" s="285"/>
      <c r="L6" s="285"/>
      <c r="M6" s="285"/>
      <c r="N6" s="286"/>
      <c r="O6" s="157"/>
    </row>
    <row r="7" spans="1:16" ht="19.149999999999999" customHeight="1" x14ac:dyDescent="0.25">
      <c r="A7" s="281" t="s">
        <v>153</v>
      </c>
      <c r="B7" s="281"/>
      <c r="C7" s="281"/>
      <c r="D7" s="281"/>
      <c r="E7" s="283"/>
      <c r="F7" s="283"/>
      <c r="G7" s="283"/>
      <c r="H7" s="283"/>
      <c r="I7" s="283"/>
      <c r="J7" s="287"/>
      <c r="K7" s="288"/>
      <c r="L7" s="288"/>
      <c r="M7" s="288"/>
      <c r="N7" s="289"/>
      <c r="O7" s="157"/>
    </row>
    <row r="8" spans="1:16" ht="19.149999999999999" customHeight="1" x14ac:dyDescent="0.25">
      <c r="A8" s="312" t="s">
        <v>154</v>
      </c>
      <c r="B8" s="313"/>
      <c r="C8" s="313"/>
      <c r="D8" s="314"/>
      <c r="E8" s="283"/>
      <c r="F8" s="283"/>
      <c r="G8" s="283"/>
      <c r="H8" s="283"/>
      <c r="I8" s="283"/>
      <c r="J8" s="287"/>
      <c r="K8" s="288"/>
      <c r="L8" s="288"/>
      <c r="M8" s="288"/>
      <c r="N8" s="289"/>
      <c r="O8" s="157"/>
    </row>
    <row r="9" spans="1:16" ht="19.149999999999999" customHeight="1" x14ac:dyDescent="0.25">
      <c r="A9" s="282" t="s">
        <v>178</v>
      </c>
      <c r="B9" s="282"/>
      <c r="C9" s="282"/>
      <c r="D9" s="282"/>
      <c r="E9" s="283"/>
      <c r="F9" s="283"/>
      <c r="G9" s="283"/>
      <c r="H9" s="283"/>
      <c r="I9" s="283"/>
      <c r="J9" s="290"/>
      <c r="K9" s="291"/>
      <c r="L9" s="291"/>
      <c r="M9" s="291"/>
      <c r="N9" s="292"/>
      <c r="O9" s="157"/>
    </row>
    <row r="10" spans="1:16" ht="19.149999999999999" customHeight="1" x14ac:dyDescent="0.25">
      <c r="A10" s="309" t="s">
        <v>122</v>
      </c>
      <c r="B10" s="310"/>
      <c r="C10" s="311"/>
      <c r="D10" s="105">
        <v>207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157"/>
    </row>
    <row r="11" spans="1:16" ht="19.149999999999999" customHeight="1" x14ac:dyDescent="0.25">
      <c r="A11" s="293" t="s">
        <v>0</v>
      </c>
      <c r="B11" s="296" t="s">
        <v>19</v>
      </c>
      <c r="C11" s="296" t="s">
        <v>8</v>
      </c>
      <c r="D11" s="296" t="s">
        <v>9</v>
      </c>
      <c r="E11" s="299" t="s">
        <v>11</v>
      </c>
      <c r="F11" s="300"/>
      <c r="G11" s="299" t="s">
        <v>43</v>
      </c>
      <c r="H11" s="300"/>
      <c r="I11" s="293" t="s">
        <v>16</v>
      </c>
      <c r="J11" s="293" t="s">
        <v>41</v>
      </c>
      <c r="K11" s="293" t="s">
        <v>42</v>
      </c>
      <c r="L11" s="293" t="s">
        <v>17</v>
      </c>
      <c r="M11" s="293" t="s">
        <v>40</v>
      </c>
      <c r="N11" s="293" t="s">
        <v>18</v>
      </c>
      <c r="O11" s="158"/>
    </row>
    <row r="12" spans="1:16" ht="19.149999999999999" customHeight="1" x14ac:dyDescent="0.25">
      <c r="A12" s="294"/>
      <c r="B12" s="297"/>
      <c r="C12" s="297"/>
      <c r="D12" s="297"/>
      <c r="E12" s="301"/>
      <c r="F12" s="302"/>
      <c r="G12" s="301"/>
      <c r="H12" s="302"/>
      <c r="I12" s="303"/>
      <c r="J12" s="303"/>
      <c r="K12" s="303"/>
      <c r="L12" s="303"/>
      <c r="M12" s="303"/>
      <c r="N12" s="294"/>
      <c r="O12" s="149"/>
    </row>
    <row r="13" spans="1:16" ht="19.149999999999999" customHeight="1" x14ac:dyDescent="0.25">
      <c r="A13" s="294"/>
      <c r="B13" s="297"/>
      <c r="C13" s="297"/>
      <c r="D13" s="297"/>
      <c r="E13" s="293" t="s">
        <v>10</v>
      </c>
      <c r="F13" s="293" t="s">
        <v>12</v>
      </c>
      <c r="G13" s="293" t="s">
        <v>14</v>
      </c>
      <c r="H13" s="293" t="s">
        <v>15</v>
      </c>
      <c r="I13" s="303"/>
      <c r="J13" s="303"/>
      <c r="K13" s="303"/>
      <c r="L13" s="303"/>
      <c r="M13" s="303"/>
      <c r="N13" s="294"/>
      <c r="O13" s="149"/>
    </row>
    <row r="14" spans="1:16" ht="19.149999999999999" customHeight="1" x14ac:dyDescent="0.25">
      <c r="A14" s="295"/>
      <c r="B14" s="298"/>
      <c r="C14" s="298"/>
      <c r="D14" s="298"/>
      <c r="E14" s="304"/>
      <c r="F14" s="304"/>
      <c r="G14" s="304"/>
      <c r="H14" s="304"/>
      <c r="I14" s="304"/>
      <c r="J14" s="304"/>
      <c r="K14" s="304"/>
      <c r="L14" s="304"/>
      <c r="M14" s="304"/>
      <c r="N14" s="295"/>
      <c r="O14" s="149"/>
    </row>
    <row r="15" spans="1:16" ht="19.899999999999999" customHeight="1" x14ac:dyDescent="0.25">
      <c r="A15" s="318" t="s">
        <v>34</v>
      </c>
      <c r="B15" s="319"/>
      <c r="C15" s="319"/>
      <c r="D15" s="319"/>
      <c r="E15" s="319"/>
      <c r="F15" s="319"/>
      <c r="G15" s="319"/>
      <c r="H15" s="319"/>
      <c r="I15" s="319"/>
      <c r="J15" s="319"/>
      <c r="K15" s="319"/>
      <c r="L15" s="319"/>
      <c r="M15" s="319"/>
      <c r="N15" s="320"/>
      <c r="O15" s="149"/>
    </row>
    <row r="16" spans="1:16" ht="20.45" customHeight="1" x14ac:dyDescent="0.25">
      <c r="A16" s="13">
        <v>1</v>
      </c>
      <c r="B16" s="14" t="s">
        <v>2</v>
      </c>
      <c r="C16" s="43">
        <v>12</v>
      </c>
      <c r="D16" s="44">
        <f>C16/100*60</f>
        <v>7.1999999999999993</v>
      </c>
      <c r="E16" s="45">
        <f>C16/100*15</f>
        <v>1.7999999999999998</v>
      </c>
      <c r="F16" s="45"/>
      <c r="G16" s="45"/>
      <c r="H16" s="45"/>
      <c r="I16" s="45"/>
      <c r="J16" s="45">
        <f>C16/100*387</f>
        <v>46.44</v>
      </c>
      <c r="K16" s="45">
        <f>C16/100*0.09</f>
        <v>1.0799999999999999E-2</v>
      </c>
      <c r="L16" s="159">
        <v>270</v>
      </c>
      <c r="M16" s="63">
        <v>20</v>
      </c>
      <c r="N16" s="20">
        <f t="shared" ref="N16:N26" si="0">L16*M16</f>
        <v>5400</v>
      </c>
      <c r="O16" s="160"/>
    </row>
    <row r="17" spans="1:20" ht="20.45" customHeight="1" x14ac:dyDescent="0.25">
      <c r="A17" s="8">
        <v>2</v>
      </c>
      <c r="B17" s="9" t="s">
        <v>141</v>
      </c>
      <c r="C17" s="20">
        <f>L17/100*100</f>
        <v>1100</v>
      </c>
      <c r="D17" s="21">
        <f>C17/100*899</f>
        <v>9889</v>
      </c>
      <c r="E17" s="22"/>
      <c r="F17" s="22"/>
      <c r="G17" s="99">
        <f>C17/100*100</f>
        <v>1100</v>
      </c>
      <c r="H17" s="22"/>
      <c r="I17" s="22"/>
      <c r="J17" s="22"/>
      <c r="K17" s="22"/>
      <c r="L17" s="116">
        <v>1100</v>
      </c>
      <c r="M17" s="21">
        <v>68</v>
      </c>
      <c r="N17" s="20">
        <f t="shared" si="0"/>
        <v>74800</v>
      </c>
      <c r="O17" s="160"/>
    </row>
    <row r="18" spans="1:20" ht="20.45" customHeight="1" x14ac:dyDescent="0.25">
      <c r="A18" s="8">
        <v>3</v>
      </c>
      <c r="B18" s="4" t="s">
        <v>1</v>
      </c>
      <c r="C18" s="20">
        <f>L18/100*100</f>
        <v>19665</v>
      </c>
      <c r="D18" s="21">
        <f>C18/100*316.3</f>
        <v>62200.395000000004</v>
      </c>
      <c r="E18" s="22"/>
      <c r="F18" s="99">
        <f>C18/100*7.9</f>
        <v>1553.5350000000001</v>
      </c>
      <c r="G18" s="22"/>
      <c r="H18" s="22">
        <f>C18/100*1</f>
        <v>196.65</v>
      </c>
      <c r="I18" s="110">
        <f>C18/100*75.9</f>
        <v>14925.735000000002</v>
      </c>
      <c r="J18" s="22">
        <f>C18/100*30</f>
        <v>5899.5</v>
      </c>
      <c r="K18" s="22">
        <f>C18/100*0.1</f>
        <v>19.665000000000003</v>
      </c>
      <c r="L18" s="116">
        <v>19665</v>
      </c>
      <c r="M18" s="61">
        <v>18</v>
      </c>
      <c r="N18" s="20">
        <f t="shared" si="0"/>
        <v>353970</v>
      </c>
      <c r="O18" s="3"/>
      <c r="P18" s="15"/>
    </row>
    <row r="19" spans="1:20" ht="20.45" customHeight="1" x14ac:dyDescent="0.25">
      <c r="A19" s="8">
        <v>4</v>
      </c>
      <c r="B19" s="9" t="s">
        <v>156</v>
      </c>
      <c r="C19" s="20">
        <f>L19/100*60</f>
        <v>8322</v>
      </c>
      <c r="D19" s="21">
        <f>C19/100*97</f>
        <v>8072.34</v>
      </c>
      <c r="E19" s="99">
        <f>C19/100*18.2</f>
        <v>1514.6039999999998</v>
      </c>
      <c r="F19" s="22"/>
      <c r="G19" s="22">
        <f>C19/100*2.7</f>
        <v>224.69400000000002</v>
      </c>
      <c r="H19" s="22"/>
      <c r="I19" s="22"/>
      <c r="J19" s="66">
        <f>C19/100*90</f>
        <v>7489.8</v>
      </c>
      <c r="K19" s="24">
        <f>C19/100*0.04</f>
        <v>3.3288000000000002</v>
      </c>
      <c r="L19" s="116">
        <v>13870</v>
      </c>
      <c r="M19" s="61">
        <v>95</v>
      </c>
      <c r="N19" s="104">
        <f t="shared" si="0"/>
        <v>1317650</v>
      </c>
      <c r="O19" s="3"/>
    </row>
    <row r="20" spans="1:20" ht="20.45" customHeight="1" x14ac:dyDescent="0.25">
      <c r="A20" s="8">
        <v>5</v>
      </c>
      <c r="B20" s="4" t="s">
        <v>69</v>
      </c>
      <c r="C20" s="20">
        <f>L20/100*48</f>
        <v>1728</v>
      </c>
      <c r="D20" s="21">
        <f>C20/100*199</f>
        <v>3438.7200000000003</v>
      </c>
      <c r="E20" s="22">
        <f>C20/100*20.3</f>
        <v>350.78400000000005</v>
      </c>
      <c r="F20" s="22"/>
      <c r="G20" s="22">
        <f>C20/100*13.1</f>
        <v>226.36799999999999</v>
      </c>
      <c r="H20" s="22"/>
      <c r="I20" s="22"/>
      <c r="J20" s="24">
        <f>C20/100*12</f>
        <v>207.36</v>
      </c>
      <c r="K20" s="24">
        <f>C20/100*0.15</f>
        <v>2.5920000000000001</v>
      </c>
      <c r="L20" s="116">
        <v>3600</v>
      </c>
      <c r="M20" s="23">
        <v>84</v>
      </c>
      <c r="N20" s="20">
        <f t="shared" si="0"/>
        <v>302400</v>
      </c>
      <c r="O20" s="3"/>
      <c r="Q20" s="2"/>
      <c r="R20" s="2"/>
      <c r="S20" s="3"/>
    </row>
    <row r="21" spans="1:20" ht="20.45" customHeight="1" x14ac:dyDescent="0.25">
      <c r="A21" s="8">
        <v>6</v>
      </c>
      <c r="B21" s="4" t="s">
        <v>3</v>
      </c>
      <c r="C21" s="20">
        <f>L21/100*98</f>
        <v>2028.6</v>
      </c>
      <c r="D21" s="21">
        <f>C21/100*118</f>
        <v>2393.7479999999996</v>
      </c>
      <c r="E21" s="22">
        <f>C21/100*21</f>
        <v>426.00599999999997</v>
      </c>
      <c r="F21" s="22"/>
      <c r="G21" s="22">
        <f>C21/100*3.8</f>
        <v>77.086799999999982</v>
      </c>
      <c r="H21" s="22"/>
      <c r="I21" s="22"/>
      <c r="J21" s="24">
        <f>C21/100*12</f>
        <v>243.43199999999996</v>
      </c>
      <c r="K21" s="24">
        <f>C21/100*0.1</f>
        <v>2.0286</v>
      </c>
      <c r="L21" s="116">
        <v>2070</v>
      </c>
      <c r="M21" s="23">
        <v>250</v>
      </c>
      <c r="N21" s="104">
        <f t="shared" si="0"/>
        <v>517500</v>
      </c>
      <c r="O21" s="3"/>
      <c r="Q21" s="2"/>
      <c r="R21" s="2"/>
      <c r="S21" s="3"/>
    </row>
    <row r="22" spans="1:20" ht="20.45" customHeight="1" x14ac:dyDescent="0.25">
      <c r="A22" s="8">
        <v>7</v>
      </c>
      <c r="B22" s="4" t="s">
        <v>180</v>
      </c>
      <c r="C22" s="20">
        <f>L22/100*78</f>
        <v>5655</v>
      </c>
      <c r="D22" s="21">
        <f>C22/100*37</f>
        <v>2092.35</v>
      </c>
      <c r="E22" s="25"/>
      <c r="F22" s="25">
        <f>C22/100*2.8</f>
        <v>158.33999999999997</v>
      </c>
      <c r="G22" s="25"/>
      <c r="H22" s="25">
        <f>C22/100*0.1</f>
        <v>5.6550000000000002</v>
      </c>
      <c r="I22" s="25">
        <f>C22/100*6.2</f>
        <v>350.61</v>
      </c>
      <c r="J22" s="25">
        <f>C22/100*46</f>
        <v>2601.2999999999997</v>
      </c>
      <c r="K22" s="25">
        <f>C22/100*0.06</f>
        <v>3.3929999999999998</v>
      </c>
      <c r="L22" s="161">
        <v>7250</v>
      </c>
      <c r="M22" s="23">
        <v>24</v>
      </c>
      <c r="N22" s="20">
        <f t="shared" si="0"/>
        <v>174000</v>
      </c>
      <c r="O22" s="3"/>
      <c r="Q22" s="2"/>
      <c r="R22" s="2"/>
      <c r="S22" s="3"/>
    </row>
    <row r="23" spans="1:20" ht="20.45" customHeight="1" x14ac:dyDescent="0.25">
      <c r="A23" s="8">
        <v>8</v>
      </c>
      <c r="B23" s="4" t="s">
        <v>155</v>
      </c>
      <c r="C23" s="20">
        <f>L23/100*81</f>
        <v>3369.6</v>
      </c>
      <c r="D23" s="21">
        <f>C23/100*17</f>
        <v>572.83199999999999</v>
      </c>
      <c r="E23" s="25"/>
      <c r="F23" s="25">
        <f>C23/100*0.9</f>
        <v>30.3264</v>
      </c>
      <c r="G23" s="25"/>
      <c r="H23" s="25">
        <f>C23/100*0.2</f>
        <v>6.7392000000000003</v>
      </c>
      <c r="I23" s="25">
        <f>C23/100*2.8</f>
        <v>94.348799999999983</v>
      </c>
      <c r="J23" s="22">
        <f>C23/100*28</f>
        <v>943.48799999999994</v>
      </c>
      <c r="K23" s="24">
        <f>C23/100*0.04</f>
        <v>1.3478399999999999</v>
      </c>
      <c r="L23" s="161">
        <v>4160</v>
      </c>
      <c r="M23" s="61">
        <v>20</v>
      </c>
      <c r="N23" s="20">
        <f t="shared" si="0"/>
        <v>83200</v>
      </c>
      <c r="O23" s="3"/>
      <c r="P23" s="2"/>
    </row>
    <row r="24" spans="1:20" ht="20.45" customHeight="1" x14ac:dyDescent="0.25">
      <c r="A24" s="8">
        <v>9</v>
      </c>
      <c r="B24" s="4" t="s">
        <v>20</v>
      </c>
      <c r="C24" s="20">
        <f>L24/100*95</f>
        <v>2954.5</v>
      </c>
      <c r="D24" s="21">
        <f>C24/100*20</f>
        <v>590.90000000000009</v>
      </c>
      <c r="E24" s="22"/>
      <c r="F24" s="22">
        <f>C24/100*0.6</f>
        <v>17.727</v>
      </c>
      <c r="G24" s="22"/>
      <c r="H24" s="22">
        <f>C24/100*0.2</f>
        <v>5.9090000000000007</v>
      </c>
      <c r="I24" s="22">
        <f>C24/100*4</f>
        <v>118.18</v>
      </c>
      <c r="J24" s="24">
        <f>C24/100*12</f>
        <v>354.54</v>
      </c>
      <c r="K24" s="21">
        <f>C24/100*0.04</f>
        <v>1.1818000000000002</v>
      </c>
      <c r="L24" s="116">
        <v>3110</v>
      </c>
      <c r="M24" s="63">
        <v>40</v>
      </c>
      <c r="N24" s="20">
        <f t="shared" si="0"/>
        <v>124400</v>
      </c>
      <c r="O24" s="15"/>
      <c r="Q24" s="2"/>
      <c r="R24" s="2"/>
      <c r="S24" s="3"/>
    </row>
    <row r="25" spans="1:20" ht="20.45" customHeight="1" x14ac:dyDescent="0.25">
      <c r="A25" s="8">
        <v>10</v>
      </c>
      <c r="B25" s="4" t="s">
        <v>72</v>
      </c>
      <c r="C25" s="20">
        <f>L25/100*75</f>
        <v>315</v>
      </c>
      <c r="D25" s="21">
        <f>C25/100*17</f>
        <v>53.55</v>
      </c>
      <c r="E25" s="25"/>
      <c r="F25" s="25">
        <f>C25/100*1.9</f>
        <v>5.9849999999999994</v>
      </c>
      <c r="G25" s="25"/>
      <c r="H25" s="25"/>
      <c r="I25" s="25">
        <f>C25/100*2.2</f>
        <v>6.9300000000000006</v>
      </c>
      <c r="J25" s="24">
        <f>C25/100*150</f>
        <v>472.5</v>
      </c>
      <c r="K25" s="21">
        <f>C25/100*0.04</f>
        <v>0.126</v>
      </c>
      <c r="L25" s="161">
        <v>420</v>
      </c>
      <c r="M25" s="63">
        <v>30</v>
      </c>
      <c r="N25" s="20">
        <f t="shared" si="0"/>
        <v>12600</v>
      </c>
      <c r="O25" s="15"/>
      <c r="Q25" s="2"/>
      <c r="R25" s="2"/>
      <c r="S25" s="3"/>
    </row>
    <row r="26" spans="1:20" ht="20.45" customHeight="1" x14ac:dyDescent="0.25">
      <c r="A26" s="8">
        <v>11</v>
      </c>
      <c r="B26" s="4" t="s">
        <v>136</v>
      </c>
      <c r="C26" s="20">
        <f>L26/100*100</f>
        <v>200</v>
      </c>
      <c r="D26" s="21">
        <f>C26/100*247</f>
        <v>494</v>
      </c>
      <c r="E26" s="25"/>
      <c r="F26" s="25">
        <f>C26/100*17.5</f>
        <v>35</v>
      </c>
      <c r="G26" s="25"/>
      <c r="H26" s="25">
        <f>C26/100*1.6</f>
        <v>3.2</v>
      </c>
      <c r="I26" s="25">
        <f>C26/100*39.2</f>
        <v>78.400000000000006</v>
      </c>
      <c r="J26" s="60"/>
      <c r="K26" s="60"/>
      <c r="L26" s="161">
        <v>200</v>
      </c>
      <c r="M26" s="61">
        <v>50</v>
      </c>
      <c r="N26" s="20">
        <f t="shared" si="0"/>
        <v>10000</v>
      </c>
      <c r="O26" s="3"/>
      <c r="Q26" s="2"/>
      <c r="R26" s="2"/>
      <c r="S26" s="3"/>
      <c r="T26" s="2"/>
    </row>
    <row r="27" spans="1:20" ht="20.45" customHeight="1" x14ac:dyDescent="0.25">
      <c r="A27" s="11">
        <v>12</v>
      </c>
      <c r="B27" s="5" t="s">
        <v>123</v>
      </c>
      <c r="C27" s="27"/>
      <c r="D27" s="28"/>
      <c r="E27" s="25"/>
      <c r="F27" s="25"/>
      <c r="G27" s="25"/>
      <c r="H27" s="25"/>
      <c r="I27" s="25"/>
      <c r="J27" s="22"/>
      <c r="K27" s="22"/>
      <c r="L27" s="26"/>
      <c r="M27" s="24"/>
      <c r="N27" s="27">
        <v>15000</v>
      </c>
      <c r="O27" s="3"/>
    </row>
    <row r="28" spans="1:20" ht="20.45" customHeight="1" x14ac:dyDescent="0.25">
      <c r="A28" s="18" t="s">
        <v>105</v>
      </c>
      <c r="B28" s="19"/>
      <c r="C28" s="29"/>
      <c r="D28" s="30">
        <f>SUM(D16:D27)</f>
        <v>89805.034999999989</v>
      </c>
      <c r="E28" s="31"/>
      <c r="F28" s="31"/>
      <c r="G28" s="31"/>
      <c r="H28" s="31"/>
      <c r="I28" s="31"/>
      <c r="J28" s="31"/>
      <c r="K28" s="31"/>
      <c r="L28" s="32"/>
      <c r="M28" s="32"/>
      <c r="N28" s="321">
        <f>SUM(N16:N27)</f>
        <v>2990920</v>
      </c>
      <c r="O28" s="3"/>
    </row>
    <row r="29" spans="1:20" ht="20.45" customHeight="1" x14ac:dyDescent="0.25">
      <c r="A29" s="18" t="s">
        <v>6</v>
      </c>
      <c r="B29" s="19"/>
      <c r="C29" s="29"/>
      <c r="D29" s="30">
        <f>D28/D10</f>
        <v>433.84074879227046</v>
      </c>
      <c r="E29" s="31"/>
      <c r="F29" s="31"/>
      <c r="G29" s="31"/>
      <c r="H29" s="31"/>
      <c r="I29" s="31"/>
      <c r="J29" s="31"/>
      <c r="K29" s="31"/>
      <c r="L29" s="32"/>
      <c r="M29" s="32"/>
      <c r="N29" s="322"/>
      <c r="O29" s="3"/>
    </row>
    <row r="30" spans="1:20" ht="20.45" customHeight="1" x14ac:dyDescent="0.25">
      <c r="A30" s="305" t="s">
        <v>48</v>
      </c>
      <c r="B30" s="306"/>
      <c r="C30" s="162" t="s">
        <v>151</v>
      </c>
      <c r="D30" s="17" t="s">
        <v>45</v>
      </c>
      <c r="E30" s="31"/>
      <c r="F30" s="31"/>
      <c r="G30" s="31"/>
      <c r="H30" s="31"/>
      <c r="I30" s="31"/>
      <c r="J30" s="31"/>
      <c r="K30" s="31"/>
      <c r="L30" s="32"/>
      <c r="M30" s="32"/>
      <c r="N30" s="33"/>
      <c r="O30" s="3"/>
    </row>
    <row r="31" spans="1:20" ht="20.45" customHeight="1" x14ac:dyDescent="0.25">
      <c r="A31" s="307"/>
      <c r="B31" s="308"/>
      <c r="C31" s="16" t="s">
        <v>59</v>
      </c>
      <c r="D31" s="17">
        <f>D29*100/1320</f>
        <v>32.866723393353823</v>
      </c>
      <c r="E31" s="31"/>
      <c r="F31" s="31"/>
      <c r="G31" s="31"/>
      <c r="H31" s="31"/>
      <c r="I31" s="31"/>
      <c r="J31" s="31"/>
      <c r="K31" s="31"/>
      <c r="L31" s="32"/>
      <c r="M31" s="32"/>
      <c r="N31" s="33"/>
      <c r="O31" s="3"/>
    </row>
    <row r="32" spans="1:20" ht="20.45" customHeight="1" x14ac:dyDescent="0.3">
      <c r="A32" s="316" t="s">
        <v>35</v>
      </c>
      <c r="B32" s="316"/>
      <c r="C32" s="47"/>
      <c r="D32" s="48"/>
      <c r="E32" s="49"/>
      <c r="F32" s="49"/>
      <c r="G32" s="49"/>
      <c r="H32" s="49"/>
      <c r="I32" s="49"/>
      <c r="J32" s="49"/>
      <c r="K32" s="49"/>
      <c r="L32" s="50"/>
      <c r="M32" s="50"/>
      <c r="N32" s="58"/>
      <c r="O32" s="3"/>
    </row>
    <row r="33" spans="1:20" ht="20.45" customHeight="1" x14ac:dyDescent="0.25">
      <c r="A33" s="8">
        <v>1</v>
      </c>
      <c r="B33" s="4" t="s">
        <v>140</v>
      </c>
      <c r="C33" s="20">
        <f>L33/100*100</f>
        <v>4970</v>
      </c>
      <c r="D33" s="21">
        <f>C33/100*295</f>
        <v>14661.5</v>
      </c>
      <c r="E33" s="22"/>
      <c r="F33" s="22">
        <f>C33/100*6</f>
        <v>298.20000000000005</v>
      </c>
      <c r="G33" s="22"/>
      <c r="H33" s="22">
        <f>C33/100*0.8</f>
        <v>39.760000000000005</v>
      </c>
      <c r="I33" s="99">
        <f>C33/100*28.8</f>
        <v>1431.3600000000001</v>
      </c>
      <c r="J33" s="24"/>
      <c r="K33" s="24"/>
      <c r="L33" s="116">
        <v>4970</v>
      </c>
      <c r="M33" s="63">
        <v>32</v>
      </c>
      <c r="N33" s="20">
        <f>L33*M33</f>
        <v>159040</v>
      </c>
      <c r="O33" s="3"/>
    </row>
    <row r="34" spans="1:20" ht="20.45" customHeight="1" x14ac:dyDescent="0.25">
      <c r="A34" s="8">
        <v>2</v>
      </c>
      <c r="B34" s="126" t="s">
        <v>141</v>
      </c>
      <c r="C34" s="20">
        <f>L34/100*100</f>
        <v>969.99999999999989</v>
      </c>
      <c r="D34" s="21">
        <f>C34/100*899</f>
        <v>8720.2999999999993</v>
      </c>
      <c r="E34" s="22"/>
      <c r="F34" s="22"/>
      <c r="G34" s="22">
        <f>C34/100*100</f>
        <v>969.99999999999989</v>
      </c>
      <c r="H34" s="22"/>
      <c r="I34" s="22"/>
      <c r="J34" s="24"/>
      <c r="K34" s="24"/>
      <c r="L34" s="116">
        <v>970</v>
      </c>
      <c r="M34" s="61">
        <v>68</v>
      </c>
      <c r="N34" s="20">
        <f t="shared" ref="N34:N35" si="1">L34*M34</f>
        <v>65960</v>
      </c>
      <c r="O34" s="3"/>
    </row>
    <row r="35" spans="1:20" ht="20.45" customHeight="1" x14ac:dyDescent="0.25">
      <c r="A35" s="8">
        <v>3</v>
      </c>
      <c r="B35" s="126" t="s">
        <v>146</v>
      </c>
      <c r="C35" s="20">
        <f>L35/100*100</f>
        <v>100</v>
      </c>
      <c r="D35" s="100">
        <f>C35/100*900</f>
        <v>900</v>
      </c>
      <c r="E35" s="22"/>
      <c r="F35" s="22"/>
      <c r="G35" s="99"/>
      <c r="H35" s="22">
        <f>C35/100*100</f>
        <v>100</v>
      </c>
      <c r="I35" s="22"/>
      <c r="J35" s="22"/>
      <c r="K35" s="22"/>
      <c r="L35" s="116">
        <v>100</v>
      </c>
      <c r="M35" s="61">
        <v>63.5</v>
      </c>
      <c r="N35" s="20">
        <f t="shared" si="1"/>
        <v>6350</v>
      </c>
      <c r="O35" s="160"/>
    </row>
    <row r="36" spans="1:20" ht="20.45" customHeight="1" x14ac:dyDescent="0.25">
      <c r="A36" s="8">
        <v>3</v>
      </c>
      <c r="B36" s="126" t="s">
        <v>2</v>
      </c>
      <c r="C36" s="20">
        <f>L36/100*100</f>
        <v>250</v>
      </c>
      <c r="D36" s="21">
        <f>C36/100*60</f>
        <v>150</v>
      </c>
      <c r="E36" s="22">
        <f>C36/100*15</f>
        <v>37.5</v>
      </c>
      <c r="F36" s="22"/>
      <c r="G36" s="22"/>
      <c r="H36" s="22"/>
      <c r="I36" s="22"/>
      <c r="J36" s="22">
        <f>C36/100*387</f>
        <v>967.5</v>
      </c>
      <c r="K36" s="22">
        <f>C36/100*0.09</f>
        <v>0.22499999999999998</v>
      </c>
      <c r="L36" s="116">
        <v>250</v>
      </c>
      <c r="M36" s="61">
        <v>20</v>
      </c>
      <c r="N36" s="20">
        <f>L36*M36</f>
        <v>5000</v>
      </c>
      <c r="O36" s="3"/>
    </row>
    <row r="37" spans="1:20" ht="20.45" customHeight="1" x14ac:dyDescent="0.25">
      <c r="A37" s="8">
        <v>4</v>
      </c>
      <c r="B37" s="127" t="s">
        <v>136</v>
      </c>
      <c r="C37" s="20">
        <f>L37/100*100</f>
        <v>120</v>
      </c>
      <c r="D37" s="21">
        <f>C37/100*247</f>
        <v>296.39999999999998</v>
      </c>
      <c r="E37" s="25"/>
      <c r="F37" s="25">
        <f>C37/100*17.5</f>
        <v>21</v>
      </c>
      <c r="G37" s="25"/>
      <c r="H37" s="25">
        <f>C37/100*1.6</f>
        <v>1.92</v>
      </c>
      <c r="I37" s="25">
        <f>C37/100*39.2</f>
        <v>47.04</v>
      </c>
      <c r="J37" s="60"/>
      <c r="K37" s="60"/>
      <c r="L37" s="161">
        <v>120</v>
      </c>
      <c r="M37" s="61">
        <v>50</v>
      </c>
      <c r="N37" s="20">
        <f t="shared" ref="N37:N38" si="2">L37*M37</f>
        <v>6000</v>
      </c>
      <c r="O37" s="3"/>
      <c r="Q37" s="2"/>
      <c r="R37" s="2"/>
      <c r="S37" s="3"/>
      <c r="T37" s="2"/>
    </row>
    <row r="38" spans="1:20" ht="20.45" customHeight="1" x14ac:dyDescent="0.25">
      <c r="A38" s="8">
        <v>5</v>
      </c>
      <c r="B38" s="4" t="s">
        <v>181</v>
      </c>
      <c r="C38" s="20">
        <f>L38/100*90</f>
        <v>3726</v>
      </c>
      <c r="D38" s="21">
        <f>C38/100*29</f>
        <v>1080.54</v>
      </c>
      <c r="E38" s="22"/>
      <c r="F38" s="22">
        <f>C38/100*1.8</f>
        <v>67.067999999999998</v>
      </c>
      <c r="G38" s="22"/>
      <c r="H38" s="22">
        <f>C38/100*0.1</f>
        <v>3.726</v>
      </c>
      <c r="I38" s="22">
        <f>C38/100*5.3</f>
        <v>197.47799999999998</v>
      </c>
      <c r="J38" s="22">
        <f>C38/100*48</f>
        <v>1788.48</v>
      </c>
      <c r="K38" s="22">
        <f>C38/100*0.05</f>
        <v>1.863</v>
      </c>
      <c r="L38" s="116">
        <v>4140</v>
      </c>
      <c r="M38" s="61">
        <v>15</v>
      </c>
      <c r="N38" s="20">
        <f t="shared" si="2"/>
        <v>62100</v>
      </c>
      <c r="O38" s="3"/>
    </row>
    <row r="39" spans="1:20" ht="20.45" customHeight="1" x14ac:dyDescent="0.25">
      <c r="A39" s="8">
        <v>6</v>
      </c>
      <c r="B39" s="126" t="s">
        <v>74</v>
      </c>
      <c r="C39" s="20">
        <f>L39/100*98</f>
        <v>2489.1999999999998</v>
      </c>
      <c r="D39" s="21">
        <f>C39/100*139</f>
        <v>3459.9879999999998</v>
      </c>
      <c r="E39" s="22">
        <f>C39/100*19</f>
        <v>472.94799999999998</v>
      </c>
      <c r="F39" s="22"/>
      <c r="G39" s="22">
        <f>C39/100*7</f>
        <v>174.244</v>
      </c>
      <c r="H39" s="22"/>
      <c r="I39" s="22"/>
      <c r="J39" s="22">
        <f>C39/100*7</f>
        <v>174.244</v>
      </c>
      <c r="K39" s="22">
        <f>C39/100*0.9</f>
        <v>22.402799999999999</v>
      </c>
      <c r="L39" s="116">
        <v>2540</v>
      </c>
      <c r="M39" s="61">
        <v>130</v>
      </c>
      <c r="N39" s="20">
        <f t="shared" ref="N39:N40" si="3">L39*M39</f>
        <v>330200</v>
      </c>
      <c r="O39" s="3"/>
      <c r="P39" s="119"/>
    </row>
    <row r="40" spans="1:20" ht="20.45" customHeight="1" x14ac:dyDescent="0.25">
      <c r="A40" s="8">
        <v>7</v>
      </c>
      <c r="B40" s="130" t="s">
        <v>149</v>
      </c>
      <c r="C40" s="20">
        <f>L40/100*100</f>
        <v>3520.0000000000005</v>
      </c>
      <c r="D40" s="21">
        <f>C40/100*487</f>
        <v>17142.400000000001</v>
      </c>
      <c r="E40" s="25"/>
      <c r="F40" s="25">
        <f>C40/100*19.5</f>
        <v>686.40000000000009</v>
      </c>
      <c r="G40" s="25"/>
      <c r="H40" s="25">
        <f>C40/100*23.2</f>
        <v>816.64</v>
      </c>
      <c r="I40" s="143">
        <f>C40/100*46</f>
        <v>1619.2</v>
      </c>
      <c r="J40" s="99">
        <f>C40/100*680</f>
        <v>23936.000000000004</v>
      </c>
      <c r="K40" s="22">
        <f>C40/100*0.55</f>
        <v>19.360000000000003</v>
      </c>
      <c r="L40" s="26">
        <v>3520</v>
      </c>
      <c r="M40" s="121">
        <v>260</v>
      </c>
      <c r="N40" s="20">
        <f t="shared" si="3"/>
        <v>915200</v>
      </c>
      <c r="O40" s="3"/>
      <c r="P40" s="2"/>
    </row>
    <row r="41" spans="1:20" ht="20.45" customHeight="1" x14ac:dyDescent="0.25">
      <c r="A41" s="86">
        <v>8</v>
      </c>
      <c r="B41" s="93" t="s">
        <v>123</v>
      </c>
      <c r="C41" s="87"/>
      <c r="D41" s="163"/>
      <c r="E41" s="89"/>
      <c r="F41" s="89"/>
      <c r="G41" s="89"/>
      <c r="H41" s="89"/>
      <c r="I41" s="89"/>
      <c r="J41" s="89"/>
      <c r="K41" s="89"/>
      <c r="L41" s="90"/>
      <c r="M41" s="90"/>
      <c r="N41" s="87">
        <v>13350</v>
      </c>
      <c r="O41" s="3"/>
    </row>
    <row r="42" spans="1:20" ht="21.6" customHeight="1" x14ac:dyDescent="0.25">
      <c r="A42" s="293" t="s">
        <v>0</v>
      </c>
      <c r="B42" s="296" t="s">
        <v>19</v>
      </c>
      <c r="C42" s="296" t="s">
        <v>8</v>
      </c>
      <c r="D42" s="296" t="s">
        <v>9</v>
      </c>
      <c r="E42" s="299" t="s">
        <v>11</v>
      </c>
      <c r="F42" s="300"/>
      <c r="G42" s="299" t="s">
        <v>43</v>
      </c>
      <c r="H42" s="300"/>
      <c r="I42" s="293" t="s">
        <v>16</v>
      </c>
      <c r="J42" s="293" t="s">
        <v>41</v>
      </c>
      <c r="K42" s="293" t="s">
        <v>42</v>
      </c>
      <c r="L42" s="293" t="s">
        <v>17</v>
      </c>
      <c r="M42" s="293" t="s">
        <v>40</v>
      </c>
      <c r="N42" s="293" t="s">
        <v>18</v>
      </c>
      <c r="O42" s="158"/>
    </row>
    <row r="43" spans="1:20" ht="21.6" customHeight="1" x14ac:dyDescent="0.25">
      <c r="A43" s="294"/>
      <c r="B43" s="297"/>
      <c r="C43" s="297"/>
      <c r="D43" s="297"/>
      <c r="E43" s="301"/>
      <c r="F43" s="302"/>
      <c r="G43" s="301"/>
      <c r="H43" s="302"/>
      <c r="I43" s="303"/>
      <c r="J43" s="303"/>
      <c r="K43" s="303"/>
      <c r="L43" s="303"/>
      <c r="M43" s="303"/>
      <c r="N43" s="294"/>
      <c r="O43" s="149"/>
    </row>
    <row r="44" spans="1:20" ht="21.6" customHeight="1" x14ac:dyDescent="0.25">
      <c r="A44" s="294"/>
      <c r="B44" s="297"/>
      <c r="C44" s="297"/>
      <c r="D44" s="297"/>
      <c r="E44" s="293" t="s">
        <v>10</v>
      </c>
      <c r="F44" s="293" t="s">
        <v>12</v>
      </c>
      <c r="G44" s="293" t="s">
        <v>14</v>
      </c>
      <c r="H44" s="293" t="s">
        <v>15</v>
      </c>
      <c r="I44" s="303"/>
      <c r="J44" s="303"/>
      <c r="K44" s="303"/>
      <c r="L44" s="303"/>
      <c r="M44" s="303"/>
      <c r="N44" s="294"/>
      <c r="O44" s="149"/>
    </row>
    <row r="45" spans="1:20" ht="21.6" customHeight="1" x14ac:dyDescent="0.25">
      <c r="A45" s="295"/>
      <c r="B45" s="298"/>
      <c r="C45" s="298"/>
      <c r="D45" s="298"/>
      <c r="E45" s="304"/>
      <c r="F45" s="304"/>
      <c r="G45" s="304"/>
      <c r="H45" s="304"/>
      <c r="I45" s="304"/>
      <c r="J45" s="304"/>
      <c r="K45" s="304"/>
      <c r="L45" s="304"/>
      <c r="M45" s="304"/>
      <c r="N45" s="295"/>
      <c r="O45" s="149"/>
    </row>
    <row r="46" spans="1:20" ht="21.6" customHeight="1" x14ac:dyDescent="0.25">
      <c r="A46" s="317" t="s">
        <v>106</v>
      </c>
      <c r="B46" s="317"/>
      <c r="C46" s="29"/>
      <c r="D46" s="30">
        <f>SUM(D33:D41)</f>
        <v>46411.128000000004</v>
      </c>
      <c r="E46" s="6"/>
      <c r="F46" s="6"/>
      <c r="G46" s="6"/>
      <c r="H46" s="6"/>
      <c r="I46" s="6"/>
      <c r="J46" s="6"/>
      <c r="K46" s="6"/>
      <c r="L46" s="37"/>
      <c r="M46" s="37"/>
      <c r="N46" s="321">
        <f>SUM(N33:N41)</f>
        <v>1563200</v>
      </c>
      <c r="O46" s="3"/>
    </row>
    <row r="47" spans="1:20" ht="21.6" customHeight="1" x14ac:dyDescent="0.25">
      <c r="A47" s="317" t="s">
        <v>7</v>
      </c>
      <c r="B47" s="317"/>
      <c r="C47" s="38"/>
      <c r="D47" s="39">
        <f>D46/D10</f>
        <v>224.20834782608696</v>
      </c>
      <c r="E47" s="39"/>
      <c r="F47" s="39"/>
      <c r="G47" s="39"/>
      <c r="H47" s="39"/>
      <c r="I47" s="39"/>
      <c r="J47" s="39"/>
      <c r="K47" s="39"/>
      <c r="L47" s="37"/>
      <c r="M47" s="37"/>
      <c r="N47" s="322"/>
      <c r="O47" s="164"/>
    </row>
    <row r="48" spans="1:20" ht="21.6" customHeight="1" x14ac:dyDescent="0.25">
      <c r="A48" s="305" t="s">
        <v>47</v>
      </c>
      <c r="B48" s="306"/>
      <c r="C48" s="162" t="s">
        <v>151</v>
      </c>
      <c r="D48" s="17" t="s">
        <v>58</v>
      </c>
      <c r="E48" s="39"/>
      <c r="F48" s="39"/>
      <c r="G48" s="39"/>
      <c r="H48" s="39"/>
      <c r="I48" s="39"/>
      <c r="J48" s="40"/>
      <c r="K48" s="40"/>
      <c r="L48" s="37"/>
      <c r="M48" s="37"/>
      <c r="N48" s="150"/>
      <c r="O48" s="3"/>
    </row>
    <row r="49" spans="1:22" ht="21.6" customHeight="1" x14ac:dyDescent="0.25">
      <c r="A49" s="307"/>
      <c r="B49" s="308"/>
      <c r="C49" s="16" t="s">
        <v>59</v>
      </c>
      <c r="D49" s="17">
        <f>D47*100/1320</f>
        <v>16.985480895915678</v>
      </c>
      <c r="E49" s="39"/>
      <c r="F49" s="39"/>
      <c r="G49" s="39"/>
      <c r="H49" s="39"/>
      <c r="I49" s="39"/>
      <c r="J49" s="40"/>
      <c r="K49" s="40"/>
      <c r="L49" s="37"/>
      <c r="M49" s="37"/>
      <c r="N49" s="150"/>
      <c r="O49" s="3"/>
    </row>
    <row r="50" spans="1:22" ht="21.6" customHeight="1" x14ac:dyDescent="0.25">
      <c r="A50" s="351" t="s">
        <v>107</v>
      </c>
      <c r="B50" s="351"/>
      <c r="C50" s="349"/>
      <c r="D50" s="263">
        <f>D28+D46</f>
        <v>136216.163</v>
      </c>
      <c r="E50" s="103">
        <f t="shared" ref="E50:K50" si="4">SUM(E16:E41)</f>
        <v>2803.6419999999998</v>
      </c>
      <c r="F50" s="103">
        <f t="shared" si="4"/>
        <v>2873.5814000000005</v>
      </c>
      <c r="G50" s="103">
        <f t="shared" si="4"/>
        <v>2772.3928000000001</v>
      </c>
      <c r="H50" s="103">
        <f t="shared" si="4"/>
        <v>1180.1992</v>
      </c>
      <c r="I50" s="343">
        <f t="shared" si="4"/>
        <v>18869.281800000004</v>
      </c>
      <c r="J50" s="334">
        <f t="shared" si="4"/>
        <v>45124.584000000003</v>
      </c>
      <c r="K50" s="334">
        <f t="shared" si="4"/>
        <v>77.524640000000005</v>
      </c>
      <c r="L50" s="334"/>
      <c r="M50" s="334"/>
      <c r="N50" s="340">
        <f>N28+N46</f>
        <v>4554120</v>
      </c>
      <c r="P50" s="142"/>
    </row>
    <row r="51" spans="1:22" ht="21.6" customHeight="1" x14ac:dyDescent="0.25">
      <c r="A51" s="351"/>
      <c r="B51" s="351"/>
      <c r="C51" s="349"/>
      <c r="D51" s="264"/>
      <c r="E51" s="325">
        <f>E50+F50</f>
        <v>5677.2234000000008</v>
      </c>
      <c r="F51" s="325"/>
      <c r="G51" s="325">
        <f>G50+H50</f>
        <v>3952.5920000000001</v>
      </c>
      <c r="H51" s="325"/>
      <c r="I51" s="343"/>
      <c r="J51" s="336"/>
      <c r="K51" s="336"/>
      <c r="L51" s="335"/>
      <c r="M51" s="335"/>
      <c r="N51" s="341"/>
    </row>
    <row r="52" spans="1:22" ht="21.6" customHeight="1" x14ac:dyDescent="0.25">
      <c r="A52" s="326" t="s">
        <v>77</v>
      </c>
      <c r="B52" s="327"/>
      <c r="C52" s="328"/>
      <c r="D52" s="111">
        <f>D50/D10</f>
        <v>658.04909661835745</v>
      </c>
      <c r="E52" s="165">
        <f>E50/D10</f>
        <v>13.544164251207729</v>
      </c>
      <c r="F52" s="165">
        <f>F50/D10</f>
        <v>13.882035748792273</v>
      </c>
      <c r="G52" s="165">
        <f>G50/D10</f>
        <v>13.39320193236715</v>
      </c>
      <c r="H52" s="165">
        <f>H50/D10</f>
        <v>5.7014454106280192</v>
      </c>
      <c r="I52" s="262">
        <f>I50/D10</f>
        <v>91.155950724637705</v>
      </c>
      <c r="J52" s="344">
        <f>J50/D10</f>
        <v>217.99315942028986</v>
      </c>
      <c r="K52" s="344">
        <f>K50/D10</f>
        <v>0.37451516908212562</v>
      </c>
      <c r="L52" s="335"/>
      <c r="M52" s="335"/>
      <c r="N52" s="341"/>
      <c r="P52" s="119"/>
      <c r="Q52" s="333"/>
      <c r="R52" s="333"/>
      <c r="S52" s="333"/>
      <c r="T52" s="333"/>
      <c r="U52" s="346"/>
      <c r="V52" s="346"/>
    </row>
    <row r="53" spans="1:22" ht="21.6" customHeight="1" x14ac:dyDescent="0.25">
      <c r="A53" s="329"/>
      <c r="B53" s="330"/>
      <c r="C53" s="331"/>
      <c r="D53" s="106"/>
      <c r="E53" s="350">
        <f>E52+F52</f>
        <v>27.426200000000001</v>
      </c>
      <c r="F53" s="350"/>
      <c r="G53" s="350">
        <f>G52+H52</f>
        <v>19.09464734299517</v>
      </c>
      <c r="H53" s="350"/>
      <c r="I53" s="262"/>
      <c r="J53" s="345"/>
      <c r="K53" s="345"/>
      <c r="L53" s="335"/>
      <c r="M53" s="335"/>
      <c r="N53" s="341"/>
      <c r="P53" s="167"/>
      <c r="Q53" s="333"/>
      <c r="R53" s="333"/>
      <c r="S53" s="333"/>
      <c r="T53" s="333"/>
      <c r="U53" s="333"/>
      <c r="V53" s="333"/>
    </row>
    <row r="54" spans="1:22" ht="21.6" customHeight="1" x14ac:dyDescent="0.25">
      <c r="A54" s="271" t="s">
        <v>80</v>
      </c>
      <c r="B54" s="332"/>
      <c r="C54" s="272"/>
      <c r="D54" s="148" t="s">
        <v>28</v>
      </c>
      <c r="E54" s="379" t="s">
        <v>21</v>
      </c>
      <c r="F54" s="379"/>
      <c r="G54" s="379" t="s">
        <v>22</v>
      </c>
      <c r="H54" s="379"/>
      <c r="I54" s="168" t="s">
        <v>23</v>
      </c>
      <c r="J54" s="168">
        <v>600</v>
      </c>
      <c r="K54" s="168">
        <v>0.7</v>
      </c>
      <c r="L54" s="335"/>
      <c r="M54" s="335"/>
      <c r="N54" s="341"/>
      <c r="O54" s="169"/>
      <c r="P54" s="119"/>
      <c r="Q54" s="155"/>
      <c r="R54" s="155"/>
      <c r="S54" s="155"/>
      <c r="T54" s="155"/>
      <c r="U54" s="119"/>
      <c r="V54" s="119"/>
    </row>
    <row r="55" spans="1:22" ht="21.6" customHeight="1" x14ac:dyDescent="0.25">
      <c r="A55" s="271" t="s">
        <v>78</v>
      </c>
      <c r="B55" s="332"/>
      <c r="C55" s="272"/>
      <c r="D55" s="41"/>
      <c r="E55" s="359">
        <f>E53*4.1</f>
        <v>112.44741999999999</v>
      </c>
      <c r="F55" s="360"/>
      <c r="G55" s="359">
        <f>G53*9</f>
        <v>171.85182608695652</v>
      </c>
      <c r="H55" s="360"/>
      <c r="I55" s="102">
        <f>I52*4.1</f>
        <v>373.73939797101457</v>
      </c>
      <c r="J55" s="337"/>
      <c r="K55" s="337"/>
      <c r="L55" s="335"/>
      <c r="M55" s="335"/>
      <c r="N55" s="341"/>
      <c r="O55" s="169"/>
      <c r="P55" s="170"/>
      <c r="Q55" s="119"/>
      <c r="R55" s="119"/>
      <c r="S55" s="119"/>
      <c r="T55" s="119"/>
      <c r="U55" s="119"/>
      <c r="V55" s="119"/>
    </row>
    <row r="56" spans="1:22" ht="21.6" customHeight="1" x14ac:dyDescent="0.25">
      <c r="A56" s="361" t="s">
        <v>81</v>
      </c>
      <c r="B56" s="362"/>
      <c r="C56" s="271" t="s">
        <v>59</v>
      </c>
      <c r="D56" s="272"/>
      <c r="E56" s="323">
        <f>E55*100/D52</f>
        <v>17.087998536561333</v>
      </c>
      <c r="F56" s="324"/>
      <c r="G56" s="273">
        <f>G55*100/D52</f>
        <v>26.11535020260408</v>
      </c>
      <c r="H56" s="274"/>
      <c r="I56" s="95">
        <f>I55*100/D52</f>
        <v>56.795062844341032</v>
      </c>
      <c r="J56" s="338"/>
      <c r="K56" s="338"/>
      <c r="L56" s="335"/>
      <c r="M56" s="335"/>
      <c r="N56" s="341"/>
      <c r="O56" s="169"/>
    </row>
    <row r="57" spans="1:22" ht="21.6" customHeight="1" x14ac:dyDescent="0.25">
      <c r="A57" s="363"/>
      <c r="B57" s="364"/>
      <c r="C57" s="271" t="s">
        <v>79</v>
      </c>
      <c r="D57" s="272"/>
      <c r="E57" s="271" t="s">
        <v>82</v>
      </c>
      <c r="F57" s="272"/>
      <c r="G57" s="271" t="s">
        <v>83</v>
      </c>
      <c r="H57" s="272"/>
      <c r="I57" s="151" t="s">
        <v>84</v>
      </c>
      <c r="J57" s="339"/>
      <c r="K57" s="339"/>
      <c r="L57" s="336"/>
      <c r="M57" s="336"/>
      <c r="N57" s="342"/>
      <c r="O57" s="169"/>
      <c r="P57" s="2"/>
    </row>
    <row r="58" spans="1:22" ht="21.6" customHeight="1" x14ac:dyDescent="0.25">
      <c r="A58" s="73"/>
      <c r="B58" s="76"/>
      <c r="C58" s="73"/>
      <c r="D58" s="73"/>
      <c r="E58" s="73"/>
      <c r="F58" s="73"/>
      <c r="G58" s="73"/>
      <c r="H58" s="73"/>
      <c r="I58" s="73"/>
      <c r="J58" s="73"/>
      <c r="K58" s="73"/>
      <c r="L58" s="74"/>
      <c r="M58" s="74"/>
      <c r="N58" s="75"/>
      <c r="O58" s="169"/>
      <c r="Q58" s="2"/>
    </row>
    <row r="59" spans="1:22" ht="21" customHeight="1" x14ac:dyDescent="0.25">
      <c r="A59" s="265" t="s">
        <v>114</v>
      </c>
      <c r="B59" s="265"/>
      <c r="C59" s="265"/>
      <c r="D59" s="265"/>
      <c r="E59" s="265"/>
      <c r="F59" s="265"/>
      <c r="G59" s="265"/>
      <c r="H59" s="265"/>
      <c r="I59" s="265"/>
      <c r="J59" s="265"/>
      <c r="K59" s="265"/>
      <c r="L59" s="265"/>
      <c r="M59" s="265"/>
      <c r="N59" s="265"/>
      <c r="O59" s="169"/>
    </row>
    <row r="60" spans="1:22" ht="21" customHeight="1" x14ac:dyDescent="0.25">
      <c r="A60" s="97" t="s">
        <v>115</v>
      </c>
      <c r="B60" s="266" t="s">
        <v>116</v>
      </c>
      <c r="C60" s="266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169"/>
    </row>
    <row r="61" spans="1:22" ht="21" customHeight="1" x14ac:dyDescent="0.25">
      <c r="A61" s="98"/>
      <c r="B61" s="267" t="s">
        <v>197</v>
      </c>
      <c r="C61" s="267"/>
      <c r="D61" s="267"/>
      <c r="E61" s="267"/>
      <c r="F61" s="267"/>
      <c r="G61" s="267"/>
      <c r="H61" s="267"/>
      <c r="I61" s="267"/>
      <c r="J61" s="267"/>
      <c r="K61" s="267"/>
      <c r="L61" s="267"/>
      <c r="M61" s="267"/>
      <c r="N61" s="267"/>
      <c r="O61" s="169"/>
    </row>
    <row r="62" spans="1:22" ht="21" customHeight="1" x14ac:dyDescent="0.25">
      <c r="A62" s="98"/>
      <c r="B62" s="267" t="s">
        <v>198</v>
      </c>
      <c r="C62" s="267"/>
      <c r="D62" s="267"/>
      <c r="E62" s="267"/>
      <c r="F62" s="267"/>
      <c r="G62" s="267"/>
      <c r="H62" s="267"/>
      <c r="I62" s="267"/>
      <c r="J62" s="267"/>
      <c r="K62" s="267"/>
      <c r="L62" s="267"/>
      <c r="M62" s="267"/>
      <c r="N62" s="267"/>
      <c r="O62" s="169"/>
    </row>
    <row r="63" spans="1:22" ht="21" customHeight="1" x14ac:dyDescent="0.25">
      <c r="A63" s="98"/>
      <c r="B63" s="267" t="s">
        <v>177</v>
      </c>
      <c r="C63" s="267"/>
      <c r="D63" s="267"/>
      <c r="E63" s="267"/>
      <c r="F63" s="267"/>
      <c r="G63" s="267"/>
      <c r="H63" s="267"/>
      <c r="I63" s="267"/>
      <c r="J63" s="267"/>
      <c r="K63" s="267"/>
      <c r="L63" s="267"/>
      <c r="M63" s="267"/>
      <c r="N63" s="267"/>
      <c r="O63" s="169"/>
    </row>
    <row r="64" spans="1:22" ht="21" customHeight="1" x14ac:dyDescent="0.25">
      <c r="A64" s="73"/>
      <c r="B64" s="268" t="s">
        <v>117</v>
      </c>
      <c r="C64" s="268"/>
      <c r="D64" s="268"/>
      <c r="E64" s="268"/>
      <c r="F64" s="268"/>
      <c r="G64" s="268"/>
      <c r="H64" s="268"/>
      <c r="I64" s="268"/>
      <c r="J64" s="268"/>
      <c r="K64" s="268"/>
      <c r="L64" s="268"/>
      <c r="M64" s="268"/>
      <c r="N64" s="268"/>
      <c r="O64" s="169"/>
    </row>
    <row r="65" spans="1:16" ht="21" customHeight="1" x14ac:dyDescent="0.25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7"/>
      <c r="M65" s="77"/>
      <c r="N65" s="78"/>
      <c r="O65" s="169"/>
    </row>
    <row r="66" spans="1:16" ht="21" customHeight="1" x14ac:dyDescent="0.25">
      <c r="A66" s="269" t="s">
        <v>62</v>
      </c>
      <c r="B66" s="269"/>
      <c r="C66" s="269"/>
      <c r="D66" s="269"/>
      <c r="E66" s="171"/>
      <c r="F66" s="171"/>
      <c r="G66" s="171"/>
      <c r="H66" s="171"/>
      <c r="I66" s="171"/>
      <c r="J66" s="270" t="s">
        <v>33</v>
      </c>
      <c r="K66" s="270"/>
      <c r="L66" s="270"/>
      <c r="M66" s="270"/>
      <c r="N66" s="270"/>
      <c r="O66" s="169"/>
    </row>
    <row r="67" spans="1:16" ht="21" customHeight="1" x14ac:dyDescent="0.25">
      <c r="A67" s="149"/>
      <c r="B67" s="149"/>
      <c r="C67" s="149"/>
      <c r="D67" s="171"/>
      <c r="E67" s="171"/>
      <c r="F67" s="171"/>
      <c r="G67" s="171"/>
      <c r="H67" s="172"/>
      <c r="I67" s="172"/>
      <c r="J67" s="172"/>
      <c r="K67" s="172"/>
      <c r="L67" s="172"/>
      <c r="M67" s="172"/>
      <c r="N67" s="172"/>
      <c r="O67" s="169"/>
    </row>
    <row r="68" spans="1:16" ht="21" customHeight="1" x14ac:dyDescent="0.25">
      <c r="A68" s="149"/>
      <c r="B68" s="149"/>
      <c r="C68" s="149"/>
      <c r="D68" s="171"/>
      <c r="E68" s="171"/>
      <c r="F68" s="171"/>
      <c r="G68" s="171"/>
      <c r="H68" s="172"/>
      <c r="I68" s="172"/>
      <c r="J68" s="172"/>
      <c r="K68" s="172"/>
      <c r="L68" s="172"/>
      <c r="M68" s="172"/>
      <c r="N68" s="172"/>
      <c r="O68" s="169"/>
    </row>
    <row r="69" spans="1:16" ht="21" customHeight="1" x14ac:dyDescent="0.25">
      <c r="A69" s="149"/>
      <c r="B69" s="149"/>
      <c r="C69" s="149"/>
      <c r="D69" s="171"/>
      <c r="E69" s="171"/>
      <c r="F69" s="171"/>
      <c r="G69" s="171"/>
      <c r="H69" s="172"/>
      <c r="I69" s="172"/>
      <c r="J69" s="261" t="s">
        <v>124</v>
      </c>
      <c r="K69" s="261"/>
      <c r="L69" s="261"/>
      <c r="M69" s="261"/>
      <c r="N69" s="261"/>
      <c r="O69" s="169"/>
    </row>
    <row r="70" spans="1:16" ht="21" customHeight="1" x14ac:dyDescent="0.25">
      <c r="A70" s="260" t="s">
        <v>91</v>
      </c>
      <c r="B70" s="260"/>
      <c r="C70" s="260"/>
      <c r="D70" s="260"/>
      <c r="E70" s="171"/>
      <c r="F70" s="171"/>
      <c r="G70" s="171"/>
      <c r="H70" s="172"/>
      <c r="I70" s="172"/>
      <c r="J70" s="261"/>
      <c r="K70" s="261"/>
      <c r="L70" s="261"/>
      <c r="M70" s="261"/>
      <c r="N70" s="261"/>
      <c r="O70" s="169"/>
    </row>
    <row r="71" spans="1:16" ht="21.6" customHeight="1" x14ac:dyDescent="0.25">
      <c r="A71" s="149"/>
      <c r="B71" s="149"/>
      <c r="C71" s="149"/>
      <c r="D71" s="171"/>
      <c r="E71" s="171"/>
      <c r="F71" s="171"/>
      <c r="G71" s="171"/>
      <c r="H71" s="172"/>
      <c r="I71" s="172"/>
      <c r="J71" s="172"/>
      <c r="K71" s="172"/>
      <c r="L71" s="172"/>
      <c r="M71" s="172"/>
      <c r="N71" s="172"/>
      <c r="O71" s="169"/>
    </row>
    <row r="72" spans="1:16" ht="21.6" customHeight="1" x14ac:dyDescent="0.25">
      <c r="A72" s="149"/>
      <c r="B72" s="149"/>
      <c r="C72" s="149"/>
      <c r="D72" s="171"/>
      <c r="E72" s="171"/>
      <c r="F72" s="171"/>
      <c r="G72" s="171"/>
      <c r="H72" s="172"/>
      <c r="I72" s="172"/>
      <c r="J72" s="172"/>
      <c r="K72" s="172"/>
      <c r="L72" s="172"/>
      <c r="M72" s="172"/>
      <c r="N72" s="172"/>
      <c r="O72" s="169"/>
    </row>
    <row r="73" spans="1:16" ht="21.6" customHeight="1" x14ac:dyDescent="0.25">
      <c r="A73" s="149"/>
      <c r="B73" s="149"/>
      <c r="C73" s="149"/>
      <c r="D73" s="171"/>
      <c r="E73" s="171"/>
      <c r="F73" s="171"/>
      <c r="G73" s="171"/>
      <c r="H73" s="172"/>
      <c r="I73" s="172"/>
      <c r="J73" s="261" t="s">
        <v>127</v>
      </c>
      <c r="K73" s="261"/>
      <c r="L73" s="261"/>
      <c r="M73" s="261"/>
      <c r="N73" s="261"/>
      <c r="O73" s="169"/>
    </row>
    <row r="74" spans="1:16" ht="21.6" customHeight="1" x14ac:dyDescent="0.25">
      <c r="A74" s="149"/>
      <c r="B74" s="149"/>
      <c r="C74" s="149"/>
      <c r="D74" s="171"/>
      <c r="E74" s="171"/>
      <c r="F74" s="171"/>
      <c r="G74" s="171"/>
      <c r="H74" s="172"/>
      <c r="I74" s="172"/>
      <c r="J74" s="172"/>
      <c r="K74" s="172"/>
      <c r="L74" s="172"/>
      <c r="M74" s="172"/>
      <c r="N74" s="172"/>
      <c r="O74" s="169"/>
    </row>
    <row r="75" spans="1:16" ht="21.6" customHeight="1" x14ac:dyDescent="0.25">
      <c r="A75" s="149"/>
      <c r="B75" s="149"/>
      <c r="C75" s="149"/>
      <c r="D75" s="171"/>
      <c r="E75" s="171"/>
      <c r="F75" s="171"/>
      <c r="G75" s="171"/>
      <c r="H75" s="172"/>
      <c r="I75" s="172"/>
      <c r="J75" s="172"/>
      <c r="K75" s="172"/>
      <c r="L75" s="172"/>
      <c r="M75" s="172"/>
      <c r="N75" s="172"/>
      <c r="O75" s="169"/>
    </row>
    <row r="76" spans="1:16" ht="21.6" customHeight="1" x14ac:dyDescent="0.25">
      <c r="A76" s="149"/>
      <c r="B76" s="149"/>
      <c r="C76" s="149"/>
      <c r="D76" s="171"/>
      <c r="E76" s="171"/>
      <c r="F76" s="171"/>
      <c r="G76" s="171"/>
      <c r="H76" s="172"/>
      <c r="I76" s="172"/>
      <c r="J76" s="172"/>
      <c r="K76" s="172"/>
      <c r="L76" s="172"/>
      <c r="M76" s="172"/>
      <c r="N76" s="172"/>
      <c r="O76" s="169"/>
    </row>
    <row r="77" spans="1:16" ht="21.6" customHeight="1" x14ac:dyDescent="0.25">
      <c r="A77" s="149"/>
      <c r="B77" s="149"/>
      <c r="C77" s="149"/>
      <c r="D77" s="171"/>
      <c r="E77" s="171"/>
      <c r="F77" s="171"/>
      <c r="G77" s="171"/>
      <c r="H77" s="172"/>
      <c r="I77" s="172"/>
      <c r="J77" s="172"/>
      <c r="K77" s="172"/>
      <c r="L77" s="172"/>
      <c r="M77" s="172"/>
      <c r="N77" s="172"/>
      <c r="O77" s="169"/>
    </row>
    <row r="78" spans="1:16" ht="24" customHeight="1" x14ac:dyDescent="0.25">
      <c r="A78" s="149"/>
      <c r="B78" s="149"/>
      <c r="C78" s="149"/>
      <c r="D78" s="171"/>
      <c r="E78" s="171"/>
      <c r="F78" s="171"/>
      <c r="G78" s="171"/>
      <c r="H78" s="172"/>
      <c r="I78" s="172"/>
      <c r="J78" s="172"/>
      <c r="K78" s="172"/>
      <c r="L78" s="172"/>
      <c r="M78" s="172"/>
      <c r="N78" s="172"/>
      <c r="O78" s="169"/>
    </row>
    <row r="79" spans="1:16" ht="26.45" customHeight="1" x14ac:dyDescent="0.25">
      <c r="A79" s="149"/>
      <c r="B79" s="149"/>
      <c r="C79" s="149"/>
      <c r="D79" s="171"/>
      <c r="E79" s="171"/>
      <c r="F79" s="171"/>
      <c r="G79" s="171"/>
      <c r="H79" s="172"/>
      <c r="I79" s="172"/>
      <c r="J79" s="172"/>
      <c r="K79" s="172"/>
      <c r="L79" s="172"/>
      <c r="M79" s="172"/>
      <c r="N79" s="172"/>
      <c r="O79" s="169"/>
    </row>
    <row r="80" spans="1:16" ht="17.45" customHeight="1" x14ac:dyDescent="0.3">
      <c r="A80" s="10" t="s">
        <v>61</v>
      </c>
      <c r="B80" s="7"/>
      <c r="C80" s="7"/>
      <c r="D80" s="7"/>
      <c r="E80" s="7"/>
      <c r="F80" s="378" t="s">
        <v>32</v>
      </c>
      <c r="G80" s="378"/>
      <c r="H80" s="378"/>
      <c r="I80" s="378"/>
      <c r="J80" s="378"/>
      <c r="K80" s="378"/>
      <c r="L80" s="378"/>
      <c r="M80" s="378"/>
      <c r="N80" s="378"/>
      <c r="O80" s="156"/>
      <c r="P80" s="156"/>
    </row>
    <row r="81" spans="1:16" ht="15" customHeight="1" x14ac:dyDescent="0.3">
      <c r="A81" s="7"/>
      <c r="B81" s="7"/>
      <c r="C81" s="7"/>
      <c r="D81" s="7"/>
      <c r="E81" s="7"/>
      <c r="F81" s="154"/>
      <c r="G81" s="154"/>
      <c r="H81" s="154"/>
      <c r="I81" s="154"/>
      <c r="J81" s="154"/>
      <c r="K81" s="154"/>
      <c r="L81" s="154"/>
      <c r="M81" s="154"/>
      <c r="N81" s="154"/>
      <c r="O81" s="156"/>
      <c r="P81" s="156"/>
    </row>
    <row r="82" spans="1:16" ht="17.45" customHeight="1" x14ac:dyDescent="0.3">
      <c r="A82" s="7" t="s">
        <v>196</v>
      </c>
      <c r="B82" s="7"/>
      <c r="C82" s="7"/>
      <c r="D82" s="7"/>
      <c r="E82" s="7"/>
      <c r="F82" s="154"/>
      <c r="G82" s="154"/>
      <c r="H82" s="154"/>
      <c r="I82" s="154"/>
      <c r="J82" s="154"/>
      <c r="K82" s="154"/>
      <c r="L82" s="154"/>
      <c r="M82" s="154"/>
      <c r="N82" s="154"/>
      <c r="O82" s="156"/>
      <c r="P82" s="156"/>
    </row>
    <row r="83" spans="1:16" ht="15" customHeight="1" x14ac:dyDescent="0.25">
      <c r="A83" s="275"/>
      <c r="B83" s="275"/>
      <c r="C83" s="275"/>
      <c r="D83" s="275"/>
      <c r="E83" s="275"/>
      <c r="F83" s="275"/>
      <c r="G83" s="275"/>
      <c r="H83" s="275"/>
      <c r="I83" s="275"/>
      <c r="J83" s="275"/>
      <c r="K83" s="275"/>
      <c r="L83" s="275"/>
      <c r="M83" s="275"/>
      <c r="N83" s="275"/>
      <c r="O83" s="157"/>
    </row>
    <row r="84" spans="1:16" ht="16.149999999999999" customHeight="1" x14ac:dyDescent="0.25">
      <c r="A84" s="276" t="s">
        <v>88</v>
      </c>
      <c r="B84" s="276"/>
      <c r="C84" s="276"/>
      <c r="D84" s="276"/>
      <c r="E84" s="276"/>
      <c r="F84" s="276"/>
      <c r="G84" s="276"/>
      <c r="H84" s="276"/>
      <c r="I84" s="276"/>
      <c r="J84" s="276"/>
      <c r="K84" s="276"/>
      <c r="L84" s="276"/>
      <c r="M84" s="276"/>
      <c r="N84" s="276"/>
      <c r="O84" s="157"/>
    </row>
    <row r="85" spans="1:16" ht="16.149999999999999" customHeight="1" x14ac:dyDescent="0.25">
      <c r="A85" s="279" t="s">
        <v>97</v>
      </c>
      <c r="B85" s="279"/>
      <c r="C85" s="279"/>
      <c r="D85" s="279"/>
      <c r="E85" s="279" t="s">
        <v>89</v>
      </c>
      <c r="F85" s="279"/>
      <c r="G85" s="279"/>
      <c r="H85" s="279"/>
      <c r="I85" s="279"/>
      <c r="J85" s="279"/>
      <c r="K85" s="279"/>
      <c r="L85" s="279"/>
      <c r="M85" s="279"/>
      <c r="N85" s="279"/>
      <c r="O85" s="157"/>
    </row>
    <row r="86" spans="1:16" ht="16.149999999999999" customHeight="1" x14ac:dyDescent="0.25">
      <c r="A86" s="279"/>
      <c r="B86" s="279"/>
      <c r="C86" s="279"/>
      <c r="D86" s="279"/>
      <c r="E86" s="279" t="s">
        <v>100</v>
      </c>
      <c r="F86" s="279"/>
      <c r="G86" s="279"/>
      <c r="H86" s="279"/>
      <c r="I86" s="279"/>
      <c r="J86" s="279" t="s">
        <v>101</v>
      </c>
      <c r="K86" s="279"/>
      <c r="L86" s="279"/>
      <c r="M86" s="279"/>
      <c r="N86" s="279"/>
      <c r="O86" s="157"/>
    </row>
    <row r="87" spans="1:16" ht="17.45" customHeight="1" x14ac:dyDescent="0.25">
      <c r="A87" s="280" t="s">
        <v>90</v>
      </c>
      <c r="B87" s="280"/>
      <c r="C87" s="280"/>
      <c r="D87" s="280"/>
      <c r="E87" s="283" t="s">
        <v>148</v>
      </c>
      <c r="F87" s="283"/>
      <c r="G87" s="283"/>
      <c r="H87" s="283"/>
      <c r="I87" s="283"/>
      <c r="J87" s="280" t="s">
        <v>90</v>
      </c>
      <c r="K87" s="280"/>
      <c r="L87" s="280"/>
      <c r="M87" s="280"/>
      <c r="N87" s="280"/>
      <c r="O87" s="157"/>
    </row>
    <row r="88" spans="1:16" ht="17.45" customHeight="1" x14ac:dyDescent="0.25">
      <c r="A88" s="281" t="s">
        <v>153</v>
      </c>
      <c r="B88" s="281"/>
      <c r="C88" s="281"/>
      <c r="D88" s="281"/>
      <c r="E88" s="283"/>
      <c r="F88" s="283"/>
      <c r="G88" s="283"/>
      <c r="H88" s="283"/>
      <c r="I88" s="283"/>
      <c r="J88" s="281" t="s">
        <v>112</v>
      </c>
      <c r="K88" s="281"/>
      <c r="L88" s="281"/>
      <c r="M88" s="281"/>
      <c r="N88" s="281"/>
      <c r="O88" s="157"/>
    </row>
    <row r="89" spans="1:16" ht="17.45" customHeight="1" x14ac:dyDescent="0.25">
      <c r="A89" s="312" t="s">
        <v>154</v>
      </c>
      <c r="B89" s="313"/>
      <c r="C89" s="313"/>
      <c r="D89" s="314"/>
      <c r="E89" s="283"/>
      <c r="F89" s="283"/>
      <c r="G89" s="283"/>
      <c r="H89" s="283"/>
      <c r="I89" s="283"/>
      <c r="J89" s="281" t="s">
        <v>183</v>
      </c>
      <c r="K89" s="281"/>
      <c r="L89" s="281"/>
      <c r="M89" s="281"/>
      <c r="N89" s="281"/>
      <c r="O89" s="157"/>
    </row>
    <row r="90" spans="1:16" ht="17.45" customHeight="1" x14ac:dyDescent="0.25">
      <c r="A90" s="282" t="s">
        <v>182</v>
      </c>
      <c r="B90" s="282"/>
      <c r="C90" s="282"/>
      <c r="D90" s="282"/>
      <c r="E90" s="283"/>
      <c r="F90" s="283"/>
      <c r="G90" s="283"/>
      <c r="H90" s="283"/>
      <c r="I90" s="283"/>
      <c r="J90" s="282"/>
      <c r="K90" s="282"/>
      <c r="L90" s="282"/>
      <c r="M90" s="282"/>
      <c r="N90" s="282"/>
      <c r="O90" s="157"/>
    </row>
    <row r="91" spans="1:16" ht="17.45" customHeight="1" x14ac:dyDescent="0.25">
      <c r="A91" s="309" t="s">
        <v>122</v>
      </c>
      <c r="B91" s="310"/>
      <c r="C91" s="311"/>
      <c r="D91" s="105">
        <v>53</v>
      </c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157"/>
    </row>
    <row r="92" spans="1:16" ht="17.45" customHeight="1" x14ac:dyDescent="0.25">
      <c r="A92" s="293" t="s">
        <v>0</v>
      </c>
      <c r="B92" s="296" t="s">
        <v>19</v>
      </c>
      <c r="C92" s="296" t="s">
        <v>8</v>
      </c>
      <c r="D92" s="296" t="s">
        <v>9</v>
      </c>
      <c r="E92" s="299" t="s">
        <v>11</v>
      </c>
      <c r="F92" s="300"/>
      <c r="G92" s="299" t="s">
        <v>43</v>
      </c>
      <c r="H92" s="300"/>
      <c r="I92" s="293" t="s">
        <v>16</v>
      </c>
      <c r="J92" s="293" t="s">
        <v>41</v>
      </c>
      <c r="K92" s="293" t="s">
        <v>42</v>
      </c>
      <c r="L92" s="293" t="s">
        <v>17</v>
      </c>
      <c r="M92" s="293" t="s">
        <v>40</v>
      </c>
      <c r="N92" s="293" t="s">
        <v>18</v>
      </c>
      <c r="O92" s="158"/>
    </row>
    <row r="93" spans="1:16" ht="17.45" customHeight="1" x14ac:dyDescent="0.25">
      <c r="A93" s="294"/>
      <c r="B93" s="297"/>
      <c r="C93" s="297"/>
      <c r="D93" s="297"/>
      <c r="E93" s="301"/>
      <c r="F93" s="302"/>
      <c r="G93" s="301"/>
      <c r="H93" s="302"/>
      <c r="I93" s="303"/>
      <c r="J93" s="303"/>
      <c r="K93" s="303"/>
      <c r="L93" s="303"/>
      <c r="M93" s="303"/>
      <c r="N93" s="294"/>
      <c r="O93" s="149"/>
    </row>
    <row r="94" spans="1:16" ht="17.45" customHeight="1" x14ac:dyDescent="0.25">
      <c r="A94" s="294"/>
      <c r="B94" s="297"/>
      <c r="C94" s="297"/>
      <c r="D94" s="297"/>
      <c r="E94" s="293" t="s">
        <v>10</v>
      </c>
      <c r="F94" s="293" t="s">
        <v>12</v>
      </c>
      <c r="G94" s="293" t="s">
        <v>14</v>
      </c>
      <c r="H94" s="293" t="s">
        <v>15</v>
      </c>
      <c r="I94" s="303"/>
      <c r="J94" s="303"/>
      <c r="K94" s="303"/>
      <c r="L94" s="303"/>
      <c r="M94" s="303"/>
      <c r="N94" s="294"/>
      <c r="O94" s="149"/>
    </row>
    <row r="95" spans="1:16" ht="17.45" customHeight="1" x14ac:dyDescent="0.25">
      <c r="A95" s="295"/>
      <c r="B95" s="298"/>
      <c r="C95" s="298"/>
      <c r="D95" s="298"/>
      <c r="E95" s="304"/>
      <c r="F95" s="304"/>
      <c r="G95" s="304"/>
      <c r="H95" s="304"/>
      <c r="I95" s="304"/>
      <c r="J95" s="304"/>
      <c r="K95" s="304"/>
      <c r="L95" s="304"/>
      <c r="M95" s="304"/>
      <c r="N95" s="295"/>
      <c r="O95" s="149"/>
    </row>
    <row r="96" spans="1:16" ht="16.149999999999999" customHeight="1" x14ac:dyDescent="0.25">
      <c r="A96" s="318" t="s">
        <v>39</v>
      </c>
      <c r="B96" s="319"/>
      <c r="C96" s="319"/>
      <c r="D96" s="319"/>
      <c r="E96" s="319"/>
      <c r="F96" s="319"/>
      <c r="G96" s="319"/>
      <c r="H96" s="319"/>
      <c r="I96" s="319"/>
      <c r="J96" s="319"/>
      <c r="K96" s="319"/>
      <c r="L96" s="319"/>
      <c r="M96" s="319"/>
      <c r="N96" s="320"/>
      <c r="O96" s="149"/>
    </row>
    <row r="97" spans="1:20" ht="16.149999999999999" customHeight="1" x14ac:dyDescent="0.25">
      <c r="A97" s="13">
        <v>1</v>
      </c>
      <c r="B97" s="14" t="s">
        <v>2</v>
      </c>
      <c r="C97" s="43">
        <f>L97/100*100</f>
        <v>70</v>
      </c>
      <c r="D97" s="44">
        <f>C97/100*60</f>
        <v>42</v>
      </c>
      <c r="E97" s="45">
        <f>C97/100*15</f>
        <v>10.5</v>
      </c>
      <c r="F97" s="45"/>
      <c r="G97" s="45"/>
      <c r="H97" s="45"/>
      <c r="I97" s="45"/>
      <c r="J97" s="22">
        <f>C97/100*387</f>
        <v>270.89999999999998</v>
      </c>
      <c r="K97" s="22">
        <f>C97/100*0.09</f>
        <v>6.3E-2</v>
      </c>
      <c r="L97" s="159">
        <v>70</v>
      </c>
      <c r="M97" s="63">
        <v>20</v>
      </c>
      <c r="N97" s="20">
        <f t="shared" ref="N97:N107" si="5">L97*M97</f>
        <v>1400</v>
      </c>
      <c r="O97" s="3"/>
    </row>
    <row r="98" spans="1:20" ht="16.149999999999999" customHeight="1" x14ac:dyDescent="0.25">
      <c r="A98" s="8">
        <v>2</v>
      </c>
      <c r="B98" s="9" t="s">
        <v>141</v>
      </c>
      <c r="C98" s="20">
        <f>L98/100*100</f>
        <v>470</v>
      </c>
      <c r="D98" s="21">
        <f>C98/100*899</f>
        <v>4225.3</v>
      </c>
      <c r="E98" s="22"/>
      <c r="F98" s="22"/>
      <c r="G98" s="22">
        <f>C98/100*100</f>
        <v>470</v>
      </c>
      <c r="H98" s="22"/>
      <c r="I98" s="22"/>
      <c r="J98" s="22"/>
      <c r="K98" s="22"/>
      <c r="L98" s="116">
        <v>470</v>
      </c>
      <c r="M98" s="21">
        <v>68</v>
      </c>
      <c r="N98" s="20">
        <f t="shared" si="5"/>
        <v>31960</v>
      </c>
      <c r="O98" s="160"/>
    </row>
    <row r="99" spans="1:20" ht="16.149999999999999" customHeight="1" x14ac:dyDescent="0.25">
      <c r="A99" s="8">
        <v>3</v>
      </c>
      <c r="B99" s="4" t="s">
        <v>1</v>
      </c>
      <c r="C99" s="20">
        <f>L99/100*100</f>
        <v>2279</v>
      </c>
      <c r="D99" s="21">
        <f>C99/100*344</f>
        <v>7839.7599999999993</v>
      </c>
      <c r="E99" s="22"/>
      <c r="F99" s="22">
        <f>C99/100*7.9</f>
        <v>180.041</v>
      </c>
      <c r="G99" s="22"/>
      <c r="H99" s="22">
        <f>C99/100*1</f>
        <v>22.79</v>
      </c>
      <c r="I99" s="99">
        <f>C99/100*72</f>
        <v>1640.8799999999999</v>
      </c>
      <c r="J99" s="22">
        <f>C99/100*30</f>
        <v>683.69999999999993</v>
      </c>
      <c r="K99" s="22">
        <f>C99/100*0.1</f>
        <v>2.2789999999999999</v>
      </c>
      <c r="L99" s="116">
        <v>2279</v>
      </c>
      <c r="M99" s="63">
        <v>18</v>
      </c>
      <c r="N99" s="20">
        <f t="shared" si="5"/>
        <v>41022</v>
      </c>
      <c r="O99" s="3"/>
    </row>
    <row r="100" spans="1:20" ht="16.149999999999999" customHeight="1" x14ac:dyDescent="0.25">
      <c r="A100" s="8">
        <v>4</v>
      </c>
      <c r="B100" s="9" t="s">
        <v>156</v>
      </c>
      <c r="C100" s="20">
        <f>L100/100*60</f>
        <v>1908</v>
      </c>
      <c r="D100" s="21">
        <f>C100/100*97</f>
        <v>1850.7599999999998</v>
      </c>
      <c r="E100" s="99">
        <f>C100/100*18.2</f>
        <v>347.25599999999997</v>
      </c>
      <c r="F100" s="22"/>
      <c r="G100" s="22">
        <f>C100/100*2.7</f>
        <v>51.515999999999998</v>
      </c>
      <c r="H100" s="22"/>
      <c r="I100" s="22"/>
      <c r="J100" s="66">
        <f>C100/100*90</f>
        <v>1717.1999999999998</v>
      </c>
      <c r="K100" s="24">
        <f>C100/100*0.04</f>
        <v>0.76319999999999999</v>
      </c>
      <c r="L100" s="116">
        <v>3180</v>
      </c>
      <c r="M100" s="61">
        <v>95</v>
      </c>
      <c r="N100" s="20">
        <f t="shared" si="5"/>
        <v>302100</v>
      </c>
      <c r="O100" s="3"/>
    </row>
    <row r="101" spans="1:20" ht="16.149999999999999" customHeight="1" x14ac:dyDescent="0.25">
      <c r="A101" s="8">
        <v>5</v>
      </c>
      <c r="B101" s="4" t="s">
        <v>69</v>
      </c>
      <c r="C101" s="20">
        <f>L101/100*48</f>
        <v>384</v>
      </c>
      <c r="D101" s="21">
        <f>C101/100*199</f>
        <v>764.16</v>
      </c>
      <c r="E101" s="22">
        <f>C101/100*20.3</f>
        <v>77.951999999999998</v>
      </c>
      <c r="F101" s="22"/>
      <c r="G101" s="22">
        <f>C101/100*13.1</f>
        <v>50.303999999999995</v>
      </c>
      <c r="H101" s="22"/>
      <c r="I101" s="22"/>
      <c r="J101" s="24">
        <f>C101/100*12</f>
        <v>46.08</v>
      </c>
      <c r="K101" s="24">
        <f>C101/100*0.15</f>
        <v>0.57599999999999996</v>
      </c>
      <c r="L101" s="116">
        <v>800</v>
      </c>
      <c r="M101" s="23">
        <v>84</v>
      </c>
      <c r="N101" s="20">
        <f t="shared" si="5"/>
        <v>67200</v>
      </c>
      <c r="O101" s="3"/>
      <c r="Q101" s="2"/>
      <c r="R101" s="2"/>
      <c r="S101" s="3"/>
    </row>
    <row r="102" spans="1:20" ht="16.149999999999999" customHeight="1" x14ac:dyDescent="0.25">
      <c r="A102" s="8">
        <v>6</v>
      </c>
      <c r="B102" s="4" t="s">
        <v>3</v>
      </c>
      <c r="C102" s="20">
        <f>L102/100*98</f>
        <v>519.4</v>
      </c>
      <c r="D102" s="21">
        <f>C102/100*118</f>
        <v>612.89199999999994</v>
      </c>
      <c r="E102" s="22">
        <f>C102/100*21</f>
        <v>109.074</v>
      </c>
      <c r="F102" s="22"/>
      <c r="G102" s="22">
        <f>C102/100*3.8</f>
        <v>19.737199999999998</v>
      </c>
      <c r="H102" s="22"/>
      <c r="I102" s="22"/>
      <c r="J102" s="24">
        <f>C102/100*12</f>
        <v>62.328000000000003</v>
      </c>
      <c r="K102" s="24">
        <f>C102/100*0.1</f>
        <v>0.51939999999999997</v>
      </c>
      <c r="L102" s="116">
        <v>530</v>
      </c>
      <c r="M102" s="23">
        <v>250</v>
      </c>
      <c r="N102" s="104">
        <f t="shared" si="5"/>
        <v>132500</v>
      </c>
      <c r="O102" s="3"/>
      <c r="Q102" s="2"/>
      <c r="R102" s="2"/>
      <c r="S102" s="3"/>
    </row>
    <row r="103" spans="1:20" ht="16.149999999999999" customHeight="1" x14ac:dyDescent="0.25">
      <c r="A103" s="8">
        <v>7</v>
      </c>
      <c r="B103" s="4" t="s">
        <v>20</v>
      </c>
      <c r="C103" s="20">
        <f>L103/100*95</f>
        <v>503.5</v>
      </c>
      <c r="D103" s="21">
        <f>C103/100*20</f>
        <v>100.7</v>
      </c>
      <c r="E103" s="22"/>
      <c r="F103" s="22">
        <f>C103/100*0.6</f>
        <v>3.0209999999999999</v>
      </c>
      <c r="G103" s="22"/>
      <c r="H103" s="22">
        <f>C103/100*0.2</f>
        <v>1.0070000000000001</v>
      </c>
      <c r="I103" s="22">
        <f>C103/100*4</f>
        <v>20.14</v>
      </c>
      <c r="J103" s="24">
        <f>C103/100*12</f>
        <v>60.42</v>
      </c>
      <c r="K103" s="21">
        <f>C103/100*0.04</f>
        <v>0.20140000000000002</v>
      </c>
      <c r="L103" s="116">
        <v>530</v>
      </c>
      <c r="M103" s="63">
        <v>40</v>
      </c>
      <c r="N103" s="20">
        <f t="shared" si="5"/>
        <v>21200</v>
      </c>
      <c r="O103" s="15"/>
      <c r="Q103" s="2"/>
      <c r="R103" s="2"/>
      <c r="S103" s="3"/>
    </row>
    <row r="104" spans="1:20" ht="16.149999999999999" customHeight="1" x14ac:dyDescent="0.25">
      <c r="A104" s="8">
        <v>8</v>
      </c>
      <c r="B104" s="4" t="s">
        <v>72</v>
      </c>
      <c r="C104" s="20">
        <f>L104/100*75</f>
        <v>75</v>
      </c>
      <c r="D104" s="21">
        <f>C104/100*17</f>
        <v>12.75</v>
      </c>
      <c r="E104" s="25"/>
      <c r="F104" s="25">
        <f>C104/100*1.9</f>
        <v>1.4249999999999998</v>
      </c>
      <c r="G104" s="25"/>
      <c r="H104" s="25"/>
      <c r="I104" s="25">
        <f>C104/100*2.2</f>
        <v>1.6500000000000001</v>
      </c>
      <c r="J104" s="24">
        <f>C104/100*150</f>
        <v>112.5</v>
      </c>
      <c r="K104" s="21">
        <f>C104/100*0.04</f>
        <v>0.03</v>
      </c>
      <c r="L104" s="161">
        <v>100</v>
      </c>
      <c r="M104" s="63">
        <v>30</v>
      </c>
      <c r="N104" s="20">
        <f t="shared" si="5"/>
        <v>3000</v>
      </c>
      <c r="O104" s="15"/>
      <c r="Q104" s="2"/>
      <c r="R104" s="2"/>
      <c r="S104" s="3"/>
    </row>
    <row r="105" spans="1:20" ht="15" customHeight="1" x14ac:dyDescent="0.25">
      <c r="A105" s="8">
        <v>9</v>
      </c>
      <c r="B105" s="4" t="s">
        <v>180</v>
      </c>
      <c r="C105" s="20">
        <f>L105/100*78</f>
        <v>1162.2</v>
      </c>
      <c r="D105" s="21">
        <f>C105/100*37</f>
        <v>430.01400000000001</v>
      </c>
      <c r="E105" s="25"/>
      <c r="F105" s="25">
        <f>C105/100*2.8</f>
        <v>32.541599999999995</v>
      </c>
      <c r="G105" s="25"/>
      <c r="H105" s="25">
        <f>C105/100*0.1</f>
        <v>1.1622000000000001</v>
      </c>
      <c r="I105" s="25">
        <f>C105/100*6.2</f>
        <v>72.056399999999996</v>
      </c>
      <c r="J105" s="25">
        <f>C105/100*46</f>
        <v>534.61199999999997</v>
      </c>
      <c r="K105" s="25">
        <f>C105/100*0.06</f>
        <v>0.69731999999999994</v>
      </c>
      <c r="L105" s="161">
        <v>1490</v>
      </c>
      <c r="M105" s="23">
        <v>24</v>
      </c>
      <c r="N105" s="20">
        <f t="shared" si="5"/>
        <v>35760</v>
      </c>
      <c r="O105" s="3"/>
      <c r="Q105" s="2"/>
      <c r="R105" s="2"/>
      <c r="S105" s="3"/>
    </row>
    <row r="106" spans="1:20" ht="16.149999999999999" customHeight="1" x14ac:dyDescent="0.25">
      <c r="A106" s="8">
        <v>10</v>
      </c>
      <c r="B106" s="4" t="s">
        <v>155</v>
      </c>
      <c r="C106" s="20">
        <f>L106/100*81</f>
        <v>648</v>
      </c>
      <c r="D106" s="21">
        <f>C106/100*17</f>
        <v>110.16000000000001</v>
      </c>
      <c r="E106" s="25"/>
      <c r="F106" s="25">
        <f>C106/100*0.9</f>
        <v>5.8320000000000007</v>
      </c>
      <c r="G106" s="25"/>
      <c r="H106" s="25">
        <f>C106/100*0.2</f>
        <v>1.2960000000000003</v>
      </c>
      <c r="I106" s="25">
        <f>C106/100*2.8</f>
        <v>18.143999999999998</v>
      </c>
      <c r="J106" s="22">
        <f>C106/100*28</f>
        <v>181.44</v>
      </c>
      <c r="K106" s="24">
        <f>C106/100*0.04</f>
        <v>0.25920000000000004</v>
      </c>
      <c r="L106" s="161">
        <v>800</v>
      </c>
      <c r="M106" s="61">
        <v>20</v>
      </c>
      <c r="N106" s="20">
        <f t="shared" si="5"/>
        <v>16000</v>
      </c>
      <c r="O106" s="3"/>
      <c r="P106" s="2"/>
    </row>
    <row r="107" spans="1:20" ht="16.149999999999999" customHeight="1" x14ac:dyDescent="0.25">
      <c r="A107" s="8">
        <v>11</v>
      </c>
      <c r="B107" s="4" t="s">
        <v>136</v>
      </c>
      <c r="C107" s="20">
        <f>L107/100*100</f>
        <v>40</v>
      </c>
      <c r="D107" s="21">
        <f>C107/100*247</f>
        <v>98.800000000000011</v>
      </c>
      <c r="E107" s="25"/>
      <c r="F107" s="25">
        <f>C107/100*17.5</f>
        <v>7</v>
      </c>
      <c r="G107" s="25"/>
      <c r="H107" s="25">
        <f>C107/100*1.6</f>
        <v>0.64000000000000012</v>
      </c>
      <c r="I107" s="25">
        <f>C107/100*39.2</f>
        <v>15.680000000000001</v>
      </c>
      <c r="J107" s="60"/>
      <c r="K107" s="60"/>
      <c r="L107" s="161">
        <v>40</v>
      </c>
      <c r="M107" s="61">
        <v>50</v>
      </c>
      <c r="N107" s="20">
        <f t="shared" si="5"/>
        <v>2000</v>
      </c>
      <c r="O107" s="3"/>
      <c r="Q107" s="2"/>
      <c r="R107" s="2"/>
      <c r="S107" s="3"/>
      <c r="T107" s="2"/>
    </row>
    <row r="108" spans="1:20" ht="16.149999999999999" customHeight="1" x14ac:dyDescent="0.25">
      <c r="A108" s="8">
        <v>12</v>
      </c>
      <c r="B108" s="5" t="s">
        <v>123</v>
      </c>
      <c r="C108" s="20"/>
      <c r="D108" s="21"/>
      <c r="E108" s="25"/>
      <c r="F108" s="25"/>
      <c r="G108" s="25"/>
      <c r="H108" s="25"/>
      <c r="I108" s="25"/>
      <c r="J108" s="25"/>
      <c r="K108" s="25"/>
      <c r="L108" s="26"/>
      <c r="M108" s="63"/>
      <c r="N108" s="20">
        <v>3400</v>
      </c>
      <c r="O108" s="3"/>
    </row>
    <row r="109" spans="1:20" ht="16.149999999999999" customHeight="1" x14ac:dyDescent="0.25">
      <c r="A109" s="317" t="s">
        <v>108</v>
      </c>
      <c r="B109" s="317"/>
      <c r="C109" s="29"/>
      <c r="D109" s="30">
        <f>SUM(D97:D108)</f>
        <v>16087.295999999998</v>
      </c>
      <c r="E109" s="6"/>
      <c r="F109" s="6"/>
      <c r="G109" s="6"/>
      <c r="H109" s="6"/>
      <c r="I109" s="6"/>
      <c r="J109" s="6"/>
      <c r="K109" s="6"/>
      <c r="L109" s="37"/>
      <c r="M109" s="37"/>
      <c r="N109" s="277">
        <f>SUM(N97:N108)</f>
        <v>657542</v>
      </c>
      <c r="O109" s="3"/>
    </row>
    <row r="110" spans="1:20" ht="16.149999999999999" customHeight="1" x14ac:dyDescent="0.25">
      <c r="A110" s="317" t="s">
        <v>37</v>
      </c>
      <c r="B110" s="317"/>
      <c r="C110" s="38"/>
      <c r="D110" s="39">
        <f>D109/D91</f>
        <v>303.53388679245279</v>
      </c>
      <c r="E110" s="39"/>
      <c r="F110" s="39"/>
      <c r="G110" s="39"/>
      <c r="H110" s="39"/>
      <c r="I110" s="39"/>
      <c r="J110" s="39"/>
      <c r="K110" s="39"/>
      <c r="L110" s="37"/>
      <c r="M110" s="37"/>
      <c r="N110" s="278"/>
      <c r="O110" s="3"/>
    </row>
    <row r="111" spans="1:20" ht="16.149999999999999" customHeight="1" x14ac:dyDescent="0.25">
      <c r="A111" s="305" t="s">
        <v>44</v>
      </c>
      <c r="B111" s="306"/>
      <c r="C111" s="173" t="s">
        <v>151</v>
      </c>
      <c r="D111" s="17" t="s">
        <v>45</v>
      </c>
      <c r="E111" s="39"/>
      <c r="F111" s="39"/>
      <c r="G111" s="39"/>
      <c r="H111" s="39"/>
      <c r="I111" s="39"/>
      <c r="J111" s="40"/>
      <c r="K111" s="40"/>
      <c r="L111" s="37"/>
      <c r="M111" s="37"/>
      <c r="N111" s="150"/>
      <c r="O111" s="3"/>
    </row>
    <row r="112" spans="1:20" ht="16.149999999999999" customHeight="1" x14ac:dyDescent="0.25">
      <c r="A112" s="307"/>
      <c r="B112" s="308"/>
      <c r="C112" s="16" t="s">
        <v>59</v>
      </c>
      <c r="D112" s="64">
        <f>D110*100/930</f>
        <v>32.638052343274495</v>
      </c>
      <c r="E112" s="39"/>
      <c r="F112" s="39"/>
      <c r="G112" s="39"/>
      <c r="H112" s="39"/>
      <c r="I112" s="39"/>
      <c r="J112" s="40"/>
      <c r="K112" s="40"/>
      <c r="L112" s="37"/>
      <c r="M112" s="37"/>
      <c r="N112" s="150"/>
      <c r="O112" s="3"/>
    </row>
    <row r="113" spans="1:20" ht="16.149999999999999" customHeight="1" x14ac:dyDescent="0.3">
      <c r="A113" s="316" t="s">
        <v>38</v>
      </c>
      <c r="B113" s="316"/>
      <c r="C113" s="47"/>
      <c r="D113" s="48"/>
      <c r="E113" s="49"/>
      <c r="F113" s="49"/>
      <c r="G113" s="49"/>
      <c r="H113" s="49"/>
      <c r="I113" s="49"/>
      <c r="J113" s="49"/>
      <c r="K113" s="49"/>
      <c r="L113" s="50"/>
      <c r="M113" s="50"/>
      <c r="N113" s="47"/>
      <c r="O113" s="3"/>
    </row>
    <row r="114" spans="1:20" ht="16.149999999999999" customHeight="1" x14ac:dyDescent="0.25">
      <c r="A114" s="13">
        <v>1</v>
      </c>
      <c r="B114" s="14" t="s">
        <v>2</v>
      </c>
      <c r="C114" s="43">
        <f>L114/100*100</f>
        <v>60</v>
      </c>
      <c r="D114" s="44">
        <f>C114/100*60</f>
        <v>36</v>
      </c>
      <c r="E114" s="45">
        <f>C114/100*15</f>
        <v>9</v>
      </c>
      <c r="F114" s="45"/>
      <c r="G114" s="45"/>
      <c r="H114" s="45"/>
      <c r="I114" s="45"/>
      <c r="J114" s="22">
        <f>C114/100*387</f>
        <v>232.2</v>
      </c>
      <c r="K114" s="22">
        <f>C114/100*0.09</f>
        <v>5.3999999999999999E-2</v>
      </c>
      <c r="L114" s="159">
        <v>60</v>
      </c>
      <c r="M114" s="63">
        <v>20</v>
      </c>
      <c r="N114" s="20">
        <f>L114*M114</f>
        <v>1200</v>
      </c>
      <c r="O114" s="3"/>
    </row>
    <row r="115" spans="1:20" ht="16.149999999999999" customHeight="1" x14ac:dyDescent="0.25">
      <c r="A115" s="8">
        <v>2</v>
      </c>
      <c r="B115" s="126" t="s">
        <v>146</v>
      </c>
      <c r="C115" s="20">
        <f>L115/100*100</f>
        <v>80</v>
      </c>
      <c r="D115" s="100">
        <f>C115/100*900</f>
        <v>720</v>
      </c>
      <c r="E115" s="22"/>
      <c r="F115" s="22"/>
      <c r="G115" s="99"/>
      <c r="H115" s="22">
        <f>C115/100*100</f>
        <v>80</v>
      </c>
      <c r="I115" s="22"/>
      <c r="J115" s="22"/>
      <c r="K115" s="22"/>
      <c r="L115" s="116">
        <v>80</v>
      </c>
      <c r="M115" s="61">
        <v>63.5</v>
      </c>
      <c r="N115" s="20">
        <f t="shared" ref="N115" si="6">L115*M115</f>
        <v>5080</v>
      </c>
      <c r="O115" s="160"/>
    </row>
    <row r="116" spans="1:20" ht="16.149999999999999" customHeight="1" x14ac:dyDescent="0.25">
      <c r="A116" s="8">
        <v>3</v>
      </c>
      <c r="B116" s="4" t="s">
        <v>1</v>
      </c>
      <c r="C116" s="20">
        <f>L116/100*100</f>
        <v>2226</v>
      </c>
      <c r="D116" s="21">
        <f>C116/100*344</f>
        <v>7657.4400000000005</v>
      </c>
      <c r="E116" s="22"/>
      <c r="F116" s="22">
        <f>C116/100*7.9</f>
        <v>175.85400000000001</v>
      </c>
      <c r="G116" s="22"/>
      <c r="H116" s="22">
        <f>C116/100*1</f>
        <v>22.26</v>
      </c>
      <c r="I116" s="99">
        <f>C116/100*72</f>
        <v>1602.72</v>
      </c>
      <c r="J116" s="22">
        <f>C116/100*30</f>
        <v>667.80000000000007</v>
      </c>
      <c r="K116" s="22">
        <f>C116/100*0.1</f>
        <v>2.2260000000000004</v>
      </c>
      <c r="L116" s="116">
        <v>2226</v>
      </c>
      <c r="M116" s="63">
        <v>18</v>
      </c>
      <c r="N116" s="20">
        <f t="shared" ref="N116:N122" si="7">L116*M116</f>
        <v>40068</v>
      </c>
      <c r="O116" s="3"/>
    </row>
    <row r="117" spans="1:20" ht="16.149999999999999" customHeight="1" x14ac:dyDescent="0.25">
      <c r="A117" s="8">
        <v>4</v>
      </c>
      <c r="B117" s="4" t="s">
        <v>136</v>
      </c>
      <c r="C117" s="20">
        <f>L117/100*100</f>
        <v>40</v>
      </c>
      <c r="D117" s="21">
        <f>C117/100*247</f>
        <v>98.800000000000011</v>
      </c>
      <c r="E117" s="25"/>
      <c r="F117" s="25">
        <f>C117/100*17.5</f>
        <v>7</v>
      </c>
      <c r="G117" s="25"/>
      <c r="H117" s="25">
        <f>C117/100*1.6</f>
        <v>0.64000000000000012</v>
      </c>
      <c r="I117" s="25">
        <f>C117/100*39.2</f>
        <v>15.680000000000001</v>
      </c>
      <c r="J117" s="60"/>
      <c r="K117" s="60"/>
      <c r="L117" s="161">
        <v>40</v>
      </c>
      <c r="M117" s="61">
        <v>50</v>
      </c>
      <c r="N117" s="20">
        <f t="shared" si="7"/>
        <v>2000</v>
      </c>
      <c r="O117" s="3"/>
      <c r="Q117" s="2"/>
      <c r="R117" s="2"/>
      <c r="S117" s="3"/>
      <c r="T117" s="2"/>
    </row>
    <row r="118" spans="1:20" ht="16.149999999999999" customHeight="1" x14ac:dyDescent="0.25">
      <c r="A118" s="8">
        <v>5</v>
      </c>
      <c r="B118" s="9" t="s">
        <v>5</v>
      </c>
      <c r="C118" s="20">
        <f>L118/100*90</f>
        <v>72</v>
      </c>
      <c r="D118" s="21">
        <f>C118/100*281</f>
        <v>202.32</v>
      </c>
      <c r="E118" s="22"/>
      <c r="F118" s="22">
        <f>C118/100*9.5</f>
        <v>6.84</v>
      </c>
      <c r="G118" s="22"/>
      <c r="H118" s="22">
        <f>C118/100*0.2</f>
        <v>0.14399999999999999</v>
      </c>
      <c r="I118" s="22">
        <f>D118/100*58.5</f>
        <v>118.35720000000001</v>
      </c>
      <c r="J118" s="24">
        <f>C118/100*321</f>
        <v>231.12</v>
      </c>
      <c r="K118" s="24">
        <f>C118/100*0.14</f>
        <v>0.1008</v>
      </c>
      <c r="L118" s="116">
        <v>80</v>
      </c>
      <c r="M118" s="63">
        <v>120</v>
      </c>
      <c r="N118" s="20">
        <f t="shared" si="7"/>
        <v>9600</v>
      </c>
      <c r="O118" s="15"/>
    </row>
    <row r="119" spans="1:20" ht="16.149999999999999" customHeight="1" x14ac:dyDescent="0.25">
      <c r="A119" s="8">
        <v>6</v>
      </c>
      <c r="B119" s="9" t="s">
        <v>27</v>
      </c>
      <c r="C119" s="20">
        <f>L119/100*90</f>
        <v>54</v>
      </c>
      <c r="D119" s="21">
        <f>C119/100*253</f>
        <v>136.62</v>
      </c>
      <c r="E119" s="22"/>
      <c r="F119" s="22">
        <f>C119/100*32.4</f>
        <v>17.495999999999999</v>
      </c>
      <c r="G119" s="22"/>
      <c r="H119" s="22">
        <f>C119/100*3.6</f>
        <v>1.9440000000000002</v>
      </c>
      <c r="I119" s="22">
        <f>C119/100*21.1</f>
        <v>11.394000000000002</v>
      </c>
      <c r="J119" s="24">
        <f>C119/100*165</f>
        <v>89.100000000000009</v>
      </c>
      <c r="K119" s="24">
        <f>C119/100*0.14</f>
        <v>7.5600000000000014E-2</v>
      </c>
      <c r="L119" s="116">
        <v>60</v>
      </c>
      <c r="M119" s="63">
        <v>275</v>
      </c>
      <c r="N119" s="20">
        <f t="shared" si="7"/>
        <v>16500</v>
      </c>
      <c r="O119" s="15"/>
    </row>
    <row r="120" spans="1:20" ht="16.149999999999999" customHeight="1" x14ac:dyDescent="0.25">
      <c r="A120" s="8">
        <v>7</v>
      </c>
      <c r="B120" s="9" t="s">
        <v>63</v>
      </c>
      <c r="C120" s="20">
        <f>L120/100*86</f>
        <v>1599.6000000000001</v>
      </c>
      <c r="D120" s="21">
        <f>C120/100*166</f>
        <v>2655.3360000000002</v>
      </c>
      <c r="E120" s="22">
        <f>C120/100*14.8</f>
        <v>236.74080000000004</v>
      </c>
      <c r="F120" s="22"/>
      <c r="G120" s="22">
        <f>C120/100*11.6</f>
        <v>185.55360000000002</v>
      </c>
      <c r="H120" s="22"/>
      <c r="I120" s="22">
        <f>C120/100*0.5</f>
        <v>7.9980000000000011</v>
      </c>
      <c r="J120" s="22">
        <f>C120/100*55</f>
        <v>879.78000000000009</v>
      </c>
      <c r="K120" s="22">
        <f>C120/100*0.16</f>
        <v>2.5593600000000003</v>
      </c>
      <c r="L120" s="116">
        <v>1860</v>
      </c>
      <c r="M120" s="63">
        <v>62</v>
      </c>
      <c r="N120" s="20">
        <f t="shared" si="7"/>
        <v>115320</v>
      </c>
      <c r="O120" s="3"/>
      <c r="Q120" s="2"/>
      <c r="R120" s="2"/>
      <c r="S120" s="3"/>
      <c r="T120" s="2"/>
    </row>
    <row r="121" spans="1:20" ht="16.149999999999999" customHeight="1" x14ac:dyDescent="0.25">
      <c r="A121" s="8">
        <v>8</v>
      </c>
      <c r="B121" s="126" t="s">
        <v>74</v>
      </c>
      <c r="C121" s="20">
        <f>L121/100*98</f>
        <v>450.79999999999995</v>
      </c>
      <c r="D121" s="21">
        <f>C121/100*139</f>
        <v>626.61199999999985</v>
      </c>
      <c r="E121" s="22">
        <f>C121/100*19</f>
        <v>85.651999999999987</v>
      </c>
      <c r="F121" s="22"/>
      <c r="G121" s="22">
        <f>C121/100*7</f>
        <v>31.555999999999994</v>
      </c>
      <c r="H121" s="22"/>
      <c r="I121" s="22"/>
      <c r="J121" s="22">
        <f>C121/100*7</f>
        <v>31.555999999999994</v>
      </c>
      <c r="K121" s="22">
        <f>C121/100*0.9</f>
        <v>4.057199999999999</v>
      </c>
      <c r="L121" s="116">
        <v>460</v>
      </c>
      <c r="M121" s="61">
        <v>130</v>
      </c>
      <c r="N121" s="20">
        <f t="shared" si="7"/>
        <v>59800</v>
      </c>
      <c r="O121" s="3"/>
    </row>
    <row r="122" spans="1:20" ht="16.899999999999999" customHeight="1" x14ac:dyDescent="0.25">
      <c r="A122" s="8">
        <v>9</v>
      </c>
      <c r="B122" s="4" t="s">
        <v>181</v>
      </c>
      <c r="C122" s="20">
        <f>L122/100*90</f>
        <v>1287</v>
      </c>
      <c r="D122" s="21">
        <f>C122/100*29</f>
        <v>373.22999999999996</v>
      </c>
      <c r="E122" s="22"/>
      <c r="F122" s="22">
        <f>C122/100*1.8</f>
        <v>23.166</v>
      </c>
      <c r="G122" s="22"/>
      <c r="H122" s="22">
        <f>C122/100*0.1</f>
        <v>1.2869999999999999</v>
      </c>
      <c r="I122" s="22">
        <f>C122/100*5.3</f>
        <v>68.210999999999999</v>
      </c>
      <c r="J122" s="22">
        <f>C122/100*48</f>
        <v>617.76</v>
      </c>
      <c r="K122" s="22">
        <f>C122/100*0.05</f>
        <v>0.64349999999999996</v>
      </c>
      <c r="L122" s="116">
        <v>1430</v>
      </c>
      <c r="M122" s="61">
        <v>15</v>
      </c>
      <c r="N122" s="20">
        <f t="shared" si="7"/>
        <v>21450</v>
      </c>
      <c r="O122" s="3"/>
      <c r="S122" s="142"/>
    </row>
    <row r="123" spans="1:20" ht="16.149999999999999" customHeight="1" x14ac:dyDescent="0.25">
      <c r="A123" s="8">
        <v>10</v>
      </c>
      <c r="B123" s="5" t="s">
        <v>123</v>
      </c>
      <c r="C123" s="20"/>
      <c r="D123" s="21"/>
      <c r="E123" s="22"/>
      <c r="F123" s="22"/>
      <c r="G123" s="22"/>
      <c r="H123" s="22"/>
      <c r="I123" s="22"/>
      <c r="J123" s="22"/>
      <c r="K123" s="22"/>
      <c r="L123" s="23"/>
      <c r="M123" s="23"/>
      <c r="N123" s="20">
        <v>3400</v>
      </c>
      <c r="O123" s="3"/>
    </row>
    <row r="124" spans="1:20" ht="16.149999999999999" customHeight="1" x14ac:dyDescent="0.25">
      <c r="A124" s="18" t="s">
        <v>109</v>
      </c>
      <c r="B124" s="19"/>
      <c r="C124" s="29"/>
      <c r="D124" s="30">
        <f>SUM(D114:D123)</f>
        <v>12506.357999999998</v>
      </c>
      <c r="E124" s="6"/>
      <c r="F124" s="6"/>
      <c r="G124" s="6"/>
      <c r="H124" s="6"/>
      <c r="I124" s="6"/>
      <c r="J124" s="6"/>
      <c r="K124" s="6"/>
      <c r="L124" s="37"/>
      <c r="M124" s="37"/>
      <c r="N124" s="277">
        <f>SUM(N114:N123)</f>
        <v>274418</v>
      </c>
      <c r="O124" s="3"/>
    </row>
    <row r="125" spans="1:20" ht="16.149999999999999" customHeight="1" x14ac:dyDescent="0.25">
      <c r="A125" s="18" t="s">
        <v>36</v>
      </c>
      <c r="B125" s="19"/>
      <c r="C125" s="51"/>
      <c r="D125" s="40">
        <f>D124/D91</f>
        <v>235.96901886792449</v>
      </c>
      <c r="E125" s="40"/>
      <c r="F125" s="40"/>
      <c r="G125" s="40"/>
      <c r="H125" s="40"/>
      <c r="I125" s="40"/>
      <c r="J125" s="40"/>
      <c r="K125" s="40"/>
      <c r="L125" s="52"/>
      <c r="M125" s="37"/>
      <c r="N125" s="315"/>
      <c r="O125" s="3"/>
      <c r="P125" s="142"/>
    </row>
    <row r="126" spans="1:20" ht="16.149999999999999" customHeight="1" x14ac:dyDescent="0.25">
      <c r="A126" s="305" t="s">
        <v>49</v>
      </c>
      <c r="B126" s="306"/>
      <c r="C126" s="173" t="s">
        <v>151</v>
      </c>
      <c r="D126" s="17" t="s">
        <v>46</v>
      </c>
      <c r="E126" s="39"/>
      <c r="F126" s="39"/>
      <c r="G126" s="39"/>
      <c r="H126" s="39"/>
      <c r="I126" s="39"/>
      <c r="J126" s="40"/>
      <c r="K126" s="40"/>
      <c r="L126" s="37"/>
      <c r="M126" s="37"/>
      <c r="N126" s="150"/>
      <c r="O126" s="3"/>
    </row>
    <row r="127" spans="1:20" ht="16.149999999999999" customHeight="1" x14ac:dyDescent="0.25">
      <c r="A127" s="307"/>
      <c r="B127" s="308"/>
      <c r="C127" s="16" t="s">
        <v>60</v>
      </c>
      <c r="D127" s="64">
        <f>D125*100/930</f>
        <v>25.373012781497259</v>
      </c>
      <c r="E127" s="39"/>
      <c r="F127" s="39"/>
      <c r="G127" s="39"/>
      <c r="H127" s="39"/>
      <c r="I127" s="39"/>
      <c r="J127" s="40"/>
      <c r="K127" s="40"/>
      <c r="L127" s="37"/>
      <c r="M127" s="37"/>
      <c r="N127" s="150"/>
      <c r="O127" s="3"/>
    </row>
    <row r="128" spans="1:20" ht="16.149999999999999" customHeight="1" x14ac:dyDescent="0.3">
      <c r="A128" s="316" t="s">
        <v>35</v>
      </c>
      <c r="B128" s="316"/>
      <c r="C128" s="53"/>
      <c r="D128" s="54"/>
      <c r="E128" s="54"/>
      <c r="F128" s="54"/>
      <c r="G128" s="54"/>
      <c r="H128" s="54"/>
      <c r="I128" s="54"/>
      <c r="J128" s="54"/>
      <c r="K128" s="54"/>
      <c r="L128" s="55"/>
      <c r="M128" s="55"/>
      <c r="N128" s="56"/>
      <c r="O128" s="3"/>
    </row>
    <row r="129" spans="1:22" ht="16.149999999999999" customHeight="1" x14ac:dyDescent="0.25">
      <c r="A129" s="91">
        <v>1</v>
      </c>
      <c r="B129" s="131" t="s">
        <v>149</v>
      </c>
      <c r="C129" s="29">
        <f>L129/100*100</f>
        <v>900</v>
      </c>
      <c r="D129" s="92">
        <f>C129/100*487</f>
        <v>4383</v>
      </c>
      <c r="E129" s="31"/>
      <c r="F129" s="31">
        <f>C129/100*19.5</f>
        <v>175.5</v>
      </c>
      <c r="G129" s="31"/>
      <c r="H129" s="31">
        <f>C129/100*23.2</f>
        <v>208.79999999999998</v>
      </c>
      <c r="I129" s="31">
        <f>C129/100*46</f>
        <v>414</v>
      </c>
      <c r="J129" s="109">
        <f>C129/100*680</f>
        <v>6120</v>
      </c>
      <c r="K129" s="31">
        <f>C129/100*0.55</f>
        <v>4.95</v>
      </c>
      <c r="L129" s="32">
        <v>900</v>
      </c>
      <c r="M129" s="132">
        <v>260</v>
      </c>
      <c r="N129" s="29">
        <f t="shared" ref="N129" si="8">L129*M129</f>
        <v>234000</v>
      </c>
      <c r="O129" s="3"/>
      <c r="P129" s="2"/>
    </row>
    <row r="130" spans="1:22" ht="17.45" customHeight="1" x14ac:dyDescent="0.25">
      <c r="A130" s="293" t="s">
        <v>0</v>
      </c>
      <c r="B130" s="296" t="s">
        <v>19</v>
      </c>
      <c r="C130" s="296" t="s">
        <v>8</v>
      </c>
      <c r="D130" s="296" t="s">
        <v>9</v>
      </c>
      <c r="E130" s="299" t="s">
        <v>11</v>
      </c>
      <c r="F130" s="300"/>
      <c r="G130" s="299" t="s">
        <v>43</v>
      </c>
      <c r="H130" s="300"/>
      <c r="I130" s="293" t="s">
        <v>16</v>
      </c>
      <c r="J130" s="293" t="s">
        <v>41</v>
      </c>
      <c r="K130" s="293" t="s">
        <v>42</v>
      </c>
      <c r="L130" s="293" t="s">
        <v>17</v>
      </c>
      <c r="M130" s="293" t="s">
        <v>40</v>
      </c>
      <c r="N130" s="293" t="s">
        <v>18</v>
      </c>
      <c r="O130" s="158"/>
    </row>
    <row r="131" spans="1:22" ht="17.45" customHeight="1" x14ac:dyDescent="0.25">
      <c r="A131" s="294"/>
      <c r="B131" s="297"/>
      <c r="C131" s="297"/>
      <c r="D131" s="297"/>
      <c r="E131" s="301"/>
      <c r="F131" s="302"/>
      <c r="G131" s="301"/>
      <c r="H131" s="302"/>
      <c r="I131" s="303"/>
      <c r="J131" s="303"/>
      <c r="K131" s="303"/>
      <c r="L131" s="303"/>
      <c r="M131" s="303"/>
      <c r="N131" s="294"/>
      <c r="O131" s="149"/>
    </row>
    <row r="132" spans="1:22" ht="17.45" customHeight="1" x14ac:dyDescent="0.25">
      <c r="A132" s="294"/>
      <c r="B132" s="297"/>
      <c r="C132" s="297"/>
      <c r="D132" s="297"/>
      <c r="E132" s="293" t="s">
        <v>10</v>
      </c>
      <c r="F132" s="293" t="s">
        <v>12</v>
      </c>
      <c r="G132" s="293" t="s">
        <v>14</v>
      </c>
      <c r="H132" s="293" t="s">
        <v>15</v>
      </c>
      <c r="I132" s="303"/>
      <c r="J132" s="303"/>
      <c r="K132" s="303"/>
      <c r="L132" s="303"/>
      <c r="M132" s="303"/>
      <c r="N132" s="294"/>
      <c r="O132" s="149"/>
    </row>
    <row r="133" spans="1:22" ht="17.45" customHeight="1" x14ac:dyDescent="0.25">
      <c r="A133" s="295"/>
      <c r="B133" s="298"/>
      <c r="C133" s="298"/>
      <c r="D133" s="298"/>
      <c r="E133" s="304"/>
      <c r="F133" s="304"/>
      <c r="G133" s="304"/>
      <c r="H133" s="304"/>
      <c r="I133" s="304"/>
      <c r="J133" s="304"/>
      <c r="K133" s="304"/>
      <c r="L133" s="304"/>
      <c r="M133" s="304"/>
      <c r="N133" s="295"/>
      <c r="O133" s="149"/>
    </row>
    <row r="134" spans="1:22" ht="21.6" customHeight="1" x14ac:dyDescent="0.25">
      <c r="A134" s="317" t="s">
        <v>110</v>
      </c>
      <c r="B134" s="317"/>
      <c r="C134" s="29"/>
      <c r="D134" s="30">
        <f>SUM(D129:D129)</f>
        <v>4383</v>
      </c>
      <c r="E134" s="6"/>
      <c r="F134" s="6"/>
      <c r="G134" s="6"/>
      <c r="H134" s="6"/>
      <c r="I134" s="6"/>
      <c r="J134" s="6"/>
      <c r="K134" s="6"/>
      <c r="L134" s="37"/>
      <c r="M134" s="52"/>
      <c r="N134" s="277">
        <f>SUM(N129:N129)</f>
        <v>234000</v>
      </c>
      <c r="O134" s="3"/>
    </row>
    <row r="135" spans="1:22" ht="21.6" customHeight="1" x14ac:dyDescent="0.25">
      <c r="A135" s="317" t="s">
        <v>7</v>
      </c>
      <c r="B135" s="317"/>
      <c r="C135" s="38"/>
      <c r="D135" s="39">
        <f>D134/D91</f>
        <v>82.698113207547166</v>
      </c>
      <c r="E135" s="39"/>
      <c r="F135" s="39"/>
      <c r="G135" s="39"/>
      <c r="H135" s="39"/>
      <c r="I135" s="39"/>
      <c r="J135" s="39"/>
      <c r="K135" s="39"/>
      <c r="L135" s="37"/>
      <c r="M135" s="57"/>
      <c r="N135" s="278"/>
      <c r="O135" s="3"/>
    </row>
    <row r="136" spans="1:22" ht="21.6" customHeight="1" x14ac:dyDescent="0.25">
      <c r="A136" s="305" t="s">
        <v>47</v>
      </c>
      <c r="B136" s="306"/>
      <c r="C136" s="173" t="s">
        <v>151</v>
      </c>
      <c r="D136" s="17" t="s">
        <v>50</v>
      </c>
      <c r="E136" s="39"/>
      <c r="F136" s="39"/>
      <c r="G136" s="39"/>
      <c r="H136" s="39"/>
      <c r="I136" s="39"/>
      <c r="J136" s="40"/>
      <c r="K136" s="40"/>
      <c r="L136" s="37"/>
      <c r="M136" s="37"/>
      <c r="N136" s="150"/>
      <c r="O136" s="3"/>
    </row>
    <row r="137" spans="1:22" ht="21.6" customHeight="1" x14ac:dyDescent="0.25">
      <c r="A137" s="307"/>
      <c r="B137" s="308"/>
      <c r="C137" s="16" t="s">
        <v>59</v>
      </c>
      <c r="D137" s="17">
        <f>D135*100/930</f>
        <v>8.8922702373706617</v>
      </c>
      <c r="E137" s="39"/>
      <c r="F137" s="39"/>
      <c r="G137" s="39"/>
      <c r="H137" s="39"/>
      <c r="I137" s="39"/>
      <c r="J137" s="40"/>
      <c r="K137" s="40"/>
      <c r="L137" s="37"/>
      <c r="M137" s="37"/>
      <c r="N137" s="150"/>
      <c r="O137" s="3"/>
    </row>
    <row r="138" spans="1:22" ht="21.6" customHeight="1" x14ac:dyDescent="0.25">
      <c r="A138" s="371" t="s">
        <v>111</v>
      </c>
      <c r="B138" s="372"/>
      <c r="C138" s="375"/>
      <c r="D138" s="377">
        <f>D109+D124+D134</f>
        <v>32976.653999999995</v>
      </c>
      <c r="E138" s="6">
        <f t="shared" ref="E138:K138" si="9">SUM(E97:E129)</f>
        <v>876.1748</v>
      </c>
      <c r="F138" s="6">
        <f t="shared" si="9"/>
        <v>635.71659999999997</v>
      </c>
      <c r="G138" s="6">
        <f t="shared" si="9"/>
        <v>808.66679999999997</v>
      </c>
      <c r="H138" s="6">
        <f t="shared" si="9"/>
        <v>341.97019999999998</v>
      </c>
      <c r="I138" s="334">
        <f t="shared" si="9"/>
        <v>4006.9105999999997</v>
      </c>
      <c r="J138" s="334">
        <f t="shared" si="9"/>
        <v>12538.495999999999</v>
      </c>
      <c r="K138" s="367">
        <f t="shared" si="9"/>
        <v>20.054979999999997</v>
      </c>
      <c r="L138" s="352"/>
      <c r="M138" s="352"/>
      <c r="N138" s="340">
        <f>N109+N124+N134</f>
        <v>1165960</v>
      </c>
    </row>
    <row r="139" spans="1:22" ht="21.6" customHeight="1" x14ac:dyDescent="0.25">
      <c r="A139" s="373"/>
      <c r="B139" s="374"/>
      <c r="C139" s="376"/>
      <c r="D139" s="339"/>
      <c r="E139" s="365">
        <f>E138+F138</f>
        <v>1511.8914</v>
      </c>
      <c r="F139" s="366"/>
      <c r="G139" s="365">
        <f>G138+H138</f>
        <v>1150.6369999999999</v>
      </c>
      <c r="H139" s="366"/>
      <c r="I139" s="336"/>
      <c r="J139" s="336"/>
      <c r="K139" s="368"/>
      <c r="L139" s="352"/>
      <c r="M139" s="352"/>
      <c r="N139" s="341"/>
    </row>
    <row r="140" spans="1:22" ht="21.6" customHeight="1" x14ac:dyDescent="0.25">
      <c r="A140" s="353" t="s">
        <v>77</v>
      </c>
      <c r="B140" s="354"/>
      <c r="C140" s="355"/>
      <c r="D140" s="112">
        <f>D138/D91</f>
        <v>622.2010188679244</v>
      </c>
      <c r="E140" s="174">
        <f>E138/D91</f>
        <v>16.531600000000001</v>
      </c>
      <c r="F140" s="175">
        <f>F138/D91</f>
        <v>11.994652830188679</v>
      </c>
      <c r="G140" s="174">
        <f>G138/D91</f>
        <v>15.257864150943396</v>
      </c>
      <c r="H140" s="175">
        <f>H138/D91</f>
        <v>6.4522679245283019</v>
      </c>
      <c r="I140" s="344">
        <f>I138/D91</f>
        <v>75.602086792452823</v>
      </c>
      <c r="J140" s="347">
        <f>J138/D91</f>
        <v>236.57539622641508</v>
      </c>
      <c r="K140" s="347">
        <f>K138/D91</f>
        <v>0.37839584905660373</v>
      </c>
      <c r="L140" s="352"/>
      <c r="M140" s="352"/>
      <c r="N140" s="341"/>
      <c r="P140" s="119"/>
      <c r="Q140" s="119"/>
      <c r="R140" s="119"/>
      <c r="S140" s="119"/>
      <c r="T140" s="119"/>
      <c r="U140" s="166"/>
      <c r="V140" s="119"/>
    </row>
    <row r="141" spans="1:22" ht="21.6" customHeight="1" x14ac:dyDescent="0.25">
      <c r="A141" s="356"/>
      <c r="B141" s="357"/>
      <c r="C141" s="358"/>
      <c r="D141" s="107"/>
      <c r="E141" s="369">
        <f>E140+F140</f>
        <v>28.526252830188682</v>
      </c>
      <c r="F141" s="370"/>
      <c r="G141" s="369">
        <f>G140+H140</f>
        <v>21.710132075471698</v>
      </c>
      <c r="H141" s="370"/>
      <c r="I141" s="345"/>
      <c r="J141" s="348"/>
      <c r="K141" s="348"/>
      <c r="L141" s="352"/>
      <c r="M141" s="352"/>
      <c r="N141" s="341"/>
      <c r="P141" s="167"/>
      <c r="Q141" s="119"/>
      <c r="R141" s="119"/>
      <c r="S141" s="176"/>
      <c r="T141" s="176"/>
      <c r="U141" s="155"/>
      <c r="V141" s="119"/>
    </row>
    <row r="142" spans="1:22" ht="21.6" customHeight="1" x14ac:dyDescent="0.25">
      <c r="A142" s="271" t="s">
        <v>80</v>
      </c>
      <c r="B142" s="332"/>
      <c r="C142" s="272"/>
      <c r="D142" s="151" t="s">
        <v>29</v>
      </c>
      <c r="E142" s="279" t="s">
        <v>24</v>
      </c>
      <c r="F142" s="279"/>
      <c r="G142" s="279" t="s">
        <v>25</v>
      </c>
      <c r="H142" s="279"/>
      <c r="I142" s="177" t="s">
        <v>26</v>
      </c>
      <c r="J142" s="153">
        <v>500</v>
      </c>
      <c r="K142" s="153">
        <v>0.5</v>
      </c>
      <c r="L142" s="352"/>
      <c r="M142" s="352"/>
      <c r="N142" s="341"/>
      <c r="O142" s="169"/>
      <c r="P142" s="119"/>
      <c r="Q142" s="155"/>
      <c r="R142" s="155"/>
      <c r="S142" s="155"/>
      <c r="T142" s="155"/>
      <c r="U142" s="119"/>
      <c r="V142" s="119"/>
    </row>
    <row r="143" spans="1:22" ht="21.6" customHeight="1" x14ac:dyDescent="0.25">
      <c r="A143" s="271" t="s">
        <v>78</v>
      </c>
      <c r="B143" s="332"/>
      <c r="C143" s="272"/>
      <c r="D143" s="41"/>
      <c r="E143" s="359">
        <f>E141*4.1</f>
        <v>116.95763660377358</v>
      </c>
      <c r="F143" s="360"/>
      <c r="G143" s="359">
        <f>G141*9</f>
        <v>195.39118867924529</v>
      </c>
      <c r="H143" s="360"/>
      <c r="I143" s="69">
        <f>I140*4.1</f>
        <v>309.96855584905654</v>
      </c>
      <c r="J143" s="337"/>
      <c r="K143" s="337"/>
      <c r="L143" s="352"/>
      <c r="M143" s="352"/>
      <c r="N143" s="341"/>
      <c r="O143" s="169"/>
      <c r="P143" s="170"/>
      <c r="Q143" s="119"/>
      <c r="R143" s="119"/>
      <c r="S143" s="119"/>
      <c r="T143" s="119"/>
      <c r="U143" s="119"/>
      <c r="V143" s="119"/>
    </row>
    <row r="144" spans="1:22" ht="21.6" customHeight="1" x14ac:dyDescent="0.25">
      <c r="A144" s="361" t="s">
        <v>81</v>
      </c>
      <c r="B144" s="362"/>
      <c r="C144" s="271" t="s">
        <v>59</v>
      </c>
      <c r="D144" s="272"/>
      <c r="E144" s="273">
        <f>E143*100/D140</f>
        <v>18.797403581333633</v>
      </c>
      <c r="F144" s="274"/>
      <c r="G144" s="273">
        <f>G143*100/D140</f>
        <v>31.403225445492446</v>
      </c>
      <c r="H144" s="274"/>
      <c r="I144" s="95">
        <f>I143*100/D140</f>
        <v>49.818072688636029</v>
      </c>
      <c r="J144" s="338"/>
      <c r="K144" s="338"/>
      <c r="L144" s="352"/>
      <c r="M144" s="352"/>
      <c r="N144" s="341"/>
      <c r="O144" s="169"/>
    </row>
    <row r="145" spans="1:16" ht="21.6" customHeight="1" x14ac:dyDescent="0.25">
      <c r="A145" s="363"/>
      <c r="B145" s="364"/>
      <c r="C145" s="271" t="s">
        <v>79</v>
      </c>
      <c r="D145" s="272"/>
      <c r="E145" s="271" t="s">
        <v>82</v>
      </c>
      <c r="F145" s="272"/>
      <c r="G145" s="271" t="s">
        <v>85</v>
      </c>
      <c r="H145" s="272"/>
      <c r="I145" s="151" t="s">
        <v>86</v>
      </c>
      <c r="J145" s="339"/>
      <c r="K145" s="339"/>
      <c r="L145" s="352"/>
      <c r="M145" s="352"/>
      <c r="N145" s="342"/>
      <c r="O145" s="169"/>
      <c r="P145" s="2"/>
    </row>
    <row r="146" spans="1:16" ht="21.6" customHeight="1" x14ac:dyDescent="0.25">
      <c r="A146" s="73"/>
      <c r="B146" s="76"/>
      <c r="C146" s="73"/>
      <c r="D146" s="73"/>
      <c r="E146" s="73"/>
      <c r="F146" s="73"/>
      <c r="G146" s="73"/>
      <c r="H146" s="73"/>
      <c r="I146" s="73"/>
      <c r="J146" s="73"/>
      <c r="K146" s="73"/>
      <c r="L146" s="74"/>
      <c r="M146" s="74"/>
      <c r="N146" s="75"/>
      <c r="O146" s="169"/>
      <c r="P146" s="2"/>
    </row>
    <row r="147" spans="1:16" ht="21" customHeight="1" x14ac:dyDescent="0.25">
      <c r="A147" s="265" t="s">
        <v>114</v>
      </c>
      <c r="B147" s="265"/>
      <c r="C147" s="265"/>
      <c r="D147" s="265"/>
      <c r="E147" s="265"/>
      <c r="F147" s="265"/>
      <c r="G147" s="265"/>
      <c r="H147" s="265"/>
      <c r="I147" s="265"/>
      <c r="J147" s="265"/>
      <c r="K147" s="265"/>
      <c r="L147" s="265"/>
      <c r="M147" s="265"/>
      <c r="N147" s="265"/>
      <c r="O147" s="169"/>
    </row>
    <row r="148" spans="1:16" ht="21" customHeight="1" x14ac:dyDescent="0.25">
      <c r="A148" s="97" t="s">
        <v>115</v>
      </c>
      <c r="B148" s="266" t="s">
        <v>116</v>
      </c>
      <c r="C148" s="266"/>
      <c r="D148" s="266"/>
      <c r="E148" s="266"/>
      <c r="F148" s="266"/>
      <c r="G148" s="266"/>
      <c r="H148" s="266"/>
      <c r="I148" s="266"/>
      <c r="J148" s="266"/>
      <c r="K148" s="266"/>
      <c r="L148" s="266"/>
      <c r="M148" s="266"/>
      <c r="N148" s="266"/>
      <c r="O148" s="169"/>
    </row>
    <row r="149" spans="1:16" ht="21" customHeight="1" x14ac:dyDescent="0.25">
      <c r="A149" s="98"/>
      <c r="B149" s="267" t="s">
        <v>199</v>
      </c>
      <c r="C149" s="267"/>
      <c r="D149" s="267"/>
      <c r="E149" s="267"/>
      <c r="F149" s="267"/>
      <c r="G149" s="267"/>
      <c r="H149" s="267"/>
      <c r="I149" s="267"/>
      <c r="J149" s="267"/>
      <c r="K149" s="267"/>
      <c r="L149" s="267"/>
      <c r="M149" s="267"/>
      <c r="N149" s="267"/>
      <c r="O149" s="169"/>
    </row>
    <row r="150" spans="1:16" ht="21" customHeight="1" x14ac:dyDescent="0.25">
      <c r="A150" s="98"/>
      <c r="B150" s="267" t="s">
        <v>184</v>
      </c>
      <c r="C150" s="267"/>
      <c r="D150" s="267"/>
      <c r="E150" s="267"/>
      <c r="F150" s="267"/>
      <c r="G150" s="267"/>
      <c r="H150" s="267"/>
      <c r="I150" s="267"/>
      <c r="J150" s="267"/>
      <c r="K150" s="267"/>
      <c r="L150" s="267"/>
      <c r="M150" s="267"/>
      <c r="N150" s="267"/>
      <c r="O150" s="169"/>
    </row>
    <row r="151" spans="1:16" ht="21" customHeight="1" x14ac:dyDescent="0.25">
      <c r="A151" s="98"/>
      <c r="B151" s="267" t="s">
        <v>200</v>
      </c>
      <c r="C151" s="267"/>
      <c r="D151" s="267"/>
      <c r="E151" s="267"/>
      <c r="F151" s="267"/>
      <c r="G151" s="267"/>
      <c r="H151" s="267"/>
      <c r="I151" s="267"/>
      <c r="J151" s="267"/>
      <c r="K151" s="267"/>
      <c r="L151" s="267"/>
      <c r="M151" s="267"/>
      <c r="N151" s="267"/>
      <c r="O151" s="169"/>
    </row>
    <row r="152" spans="1:16" ht="21" customHeight="1" x14ac:dyDescent="0.25">
      <c r="A152" s="73"/>
      <c r="B152" s="268" t="s">
        <v>135</v>
      </c>
      <c r="C152" s="268"/>
      <c r="D152" s="268"/>
      <c r="E152" s="268"/>
      <c r="F152" s="268"/>
      <c r="G152" s="268"/>
      <c r="H152" s="268"/>
      <c r="I152" s="268"/>
      <c r="J152" s="268"/>
      <c r="K152" s="268"/>
      <c r="L152" s="268"/>
      <c r="M152" s="268"/>
      <c r="N152" s="268"/>
      <c r="O152" s="169"/>
    </row>
    <row r="153" spans="1:16" ht="21" customHeight="1" x14ac:dyDescent="0.25">
      <c r="A153" s="73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7"/>
      <c r="M153" s="77"/>
      <c r="N153" s="78"/>
      <c r="O153" s="169"/>
    </row>
    <row r="154" spans="1:16" ht="21" customHeight="1" x14ac:dyDescent="0.25">
      <c r="A154" s="269" t="s">
        <v>62</v>
      </c>
      <c r="B154" s="269"/>
      <c r="C154" s="269"/>
      <c r="D154" s="269"/>
      <c r="E154" s="171"/>
      <c r="F154" s="171"/>
      <c r="G154" s="171"/>
      <c r="H154" s="171"/>
      <c r="I154" s="171"/>
      <c r="J154" s="270" t="s">
        <v>33</v>
      </c>
      <c r="K154" s="270"/>
      <c r="L154" s="270"/>
      <c r="M154" s="270"/>
      <c r="N154" s="270"/>
      <c r="O154" s="169"/>
    </row>
    <row r="155" spans="1:16" ht="21" customHeight="1" x14ac:dyDescent="0.25">
      <c r="A155" s="149"/>
      <c r="B155" s="149"/>
      <c r="C155" s="149"/>
      <c r="D155" s="171"/>
      <c r="E155" s="171"/>
      <c r="F155" s="171"/>
      <c r="G155" s="171"/>
      <c r="H155" s="172"/>
      <c r="I155" s="172"/>
      <c r="J155" s="172"/>
      <c r="K155" s="172"/>
      <c r="L155" s="172"/>
      <c r="M155" s="172"/>
      <c r="N155" s="172"/>
      <c r="O155" s="169"/>
    </row>
    <row r="156" spans="1:16" ht="21" customHeight="1" x14ac:dyDescent="0.25">
      <c r="A156" s="149"/>
      <c r="B156" s="149"/>
      <c r="C156" s="149"/>
      <c r="D156" s="171"/>
      <c r="E156" s="171"/>
      <c r="F156" s="171"/>
      <c r="G156" s="171"/>
      <c r="H156" s="172"/>
      <c r="I156" s="172"/>
      <c r="J156" s="172"/>
      <c r="K156" s="172"/>
      <c r="L156" s="172"/>
      <c r="M156" s="172"/>
      <c r="N156" s="172"/>
      <c r="O156" s="169"/>
    </row>
    <row r="157" spans="1:16" ht="21" customHeight="1" x14ac:dyDescent="0.25">
      <c r="A157" s="149"/>
      <c r="B157" s="149"/>
      <c r="C157" s="149"/>
      <c r="D157" s="171"/>
      <c r="E157" s="171"/>
      <c r="F157" s="171"/>
      <c r="G157" s="171"/>
      <c r="H157" s="172"/>
      <c r="I157" s="172"/>
      <c r="J157" s="261" t="s">
        <v>124</v>
      </c>
      <c r="K157" s="261"/>
      <c r="L157" s="261"/>
      <c r="M157" s="261"/>
      <c r="N157" s="261"/>
      <c r="O157" s="169"/>
    </row>
    <row r="158" spans="1:16" ht="21" customHeight="1" x14ac:dyDescent="0.25">
      <c r="A158" s="260" t="s">
        <v>91</v>
      </c>
      <c r="B158" s="260"/>
      <c r="C158" s="260"/>
      <c r="D158" s="260"/>
      <c r="E158" s="171"/>
      <c r="F158" s="171"/>
      <c r="G158" s="171"/>
      <c r="H158" s="172"/>
      <c r="I158" s="172"/>
      <c r="J158" s="261"/>
      <c r="K158" s="261"/>
      <c r="L158" s="261"/>
      <c r="M158" s="261"/>
      <c r="N158" s="261"/>
      <c r="O158" s="169"/>
    </row>
    <row r="161" spans="10:14" ht="21.6" customHeight="1" x14ac:dyDescent="0.25">
      <c r="J161" s="261" t="s">
        <v>127</v>
      </c>
      <c r="K161" s="261"/>
      <c r="L161" s="261"/>
      <c r="M161" s="261"/>
      <c r="N161" s="261"/>
    </row>
  </sheetData>
  <mergeCells count="207">
    <mergeCell ref="A89:D89"/>
    <mergeCell ref="J89:N89"/>
    <mergeCell ref="J157:N157"/>
    <mergeCell ref="J161:N161"/>
    <mergeCell ref="F1:N1"/>
    <mergeCell ref="F80:N80"/>
    <mergeCell ref="A4:N4"/>
    <mergeCell ref="A11:A14"/>
    <mergeCell ref="E11:F12"/>
    <mergeCell ref="G11:H12"/>
    <mergeCell ref="I11:I14"/>
    <mergeCell ref="N11:N14"/>
    <mergeCell ref="B11:B14"/>
    <mergeCell ref="C11:C14"/>
    <mergeCell ref="D11:D14"/>
    <mergeCell ref="L11:L14"/>
    <mergeCell ref="E13:E14"/>
    <mergeCell ref="E54:F54"/>
    <mergeCell ref="G54:H54"/>
    <mergeCell ref="F13:F14"/>
    <mergeCell ref="G13:G14"/>
    <mergeCell ref="H13:H14"/>
    <mergeCell ref="E55:F55"/>
    <mergeCell ref="G55:H55"/>
    <mergeCell ref="J52:J53"/>
    <mergeCell ref="E142:F142"/>
    <mergeCell ref="G142:H142"/>
    <mergeCell ref="A111:B112"/>
    <mergeCell ref="A126:B127"/>
    <mergeCell ref="K138:K139"/>
    <mergeCell ref="G53:H53"/>
    <mergeCell ref="I138:I139"/>
    <mergeCell ref="I140:I141"/>
    <mergeCell ref="E141:F141"/>
    <mergeCell ref="G141:H141"/>
    <mergeCell ref="A55:C55"/>
    <mergeCell ref="A56:B57"/>
    <mergeCell ref="G139:H139"/>
    <mergeCell ref="A138:B139"/>
    <mergeCell ref="C138:C139"/>
    <mergeCell ref="D138:D139"/>
    <mergeCell ref="E85:N85"/>
    <mergeCell ref="E86:I86"/>
    <mergeCell ref="J86:N86"/>
    <mergeCell ref="A130:A133"/>
    <mergeCell ref="J69:N69"/>
    <mergeCell ref="J73:N73"/>
    <mergeCell ref="A134:B134"/>
    <mergeCell ref="A135:B135"/>
    <mergeCell ref="A109:B109"/>
    <mergeCell ref="E92:F93"/>
    <mergeCell ref="G92:H93"/>
    <mergeCell ref="A96:N96"/>
    <mergeCell ref="I130:I133"/>
    <mergeCell ref="J130:J133"/>
    <mergeCell ref="K130:K133"/>
    <mergeCell ref="F132:F133"/>
    <mergeCell ref="G132:G133"/>
    <mergeCell ref="H132:H133"/>
    <mergeCell ref="B130:B133"/>
    <mergeCell ref="C130:C133"/>
    <mergeCell ref="D130:D133"/>
    <mergeCell ref="M130:M133"/>
    <mergeCell ref="U52:V52"/>
    <mergeCell ref="U53:V53"/>
    <mergeCell ref="A136:B137"/>
    <mergeCell ref="J140:J141"/>
    <mergeCell ref="K140:K141"/>
    <mergeCell ref="J138:J139"/>
    <mergeCell ref="C50:C51"/>
    <mergeCell ref="E53:F53"/>
    <mergeCell ref="E51:F51"/>
    <mergeCell ref="A50:B51"/>
    <mergeCell ref="L138:L145"/>
    <mergeCell ref="M138:M145"/>
    <mergeCell ref="N138:N145"/>
    <mergeCell ref="A140:C141"/>
    <mergeCell ref="A142:C142"/>
    <mergeCell ref="A143:C143"/>
    <mergeCell ref="E143:F143"/>
    <mergeCell ref="G143:H143"/>
    <mergeCell ref="J143:J145"/>
    <mergeCell ref="K143:K145"/>
    <mergeCell ref="A144:B145"/>
    <mergeCell ref="C144:D144"/>
    <mergeCell ref="E144:F144"/>
    <mergeCell ref="E139:F139"/>
    <mergeCell ref="Q52:R52"/>
    <mergeCell ref="S52:T52"/>
    <mergeCell ref="Q53:R53"/>
    <mergeCell ref="S53:T53"/>
    <mergeCell ref="L92:L95"/>
    <mergeCell ref="N92:N95"/>
    <mergeCell ref="L50:L57"/>
    <mergeCell ref="M50:M57"/>
    <mergeCell ref="J55:J57"/>
    <mergeCell ref="K55:K57"/>
    <mergeCell ref="J50:J51"/>
    <mergeCell ref="J92:J95"/>
    <mergeCell ref="K92:K95"/>
    <mergeCell ref="K50:K51"/>
    <mergeCell ref="N50:N57"/>
    <mergeCell ref="B63:N63"/>
    <mergeCell ref="B64:N64"/>
    <mergeCell ref="A66:D66"/>
    <mergeCell ref="J66:N66"/>
    <mergeCell ref="A70:D70"/>
    <mergeCell ref="J70:N70"/>
    <mergeCell ref="I50:I51"/>
    <mergeCell ref="K52:K53"/>
    <mergeCell ref="A85:D86"/>
    <mergeCell ref="A15:N15"/>
    <mergeCell ref="E94:E95"/>
    <mergeCell ref="A46:B46"/>
    <mergeCell ref="A47:B47"/>
    <mergeCell ref="N28:N29"/>
    <mergeCell ref="N46:N47"/>
    <mergeCell ref="E44:E45"/>
    <mergeCell ref="F44:F45"/>
    <mergeCell ref="G44:G45"/>
    <mergeCell ref="H44:H45"/>
    <mergeCell ref="C56:D56"/>
    <mergeCell ref="C57:D57"/>
    <mergeCell ref="E56:F56"/>
    <mergeCell ref="G56:H56"/>
    <mergeCell ref="E57:F57"/>
    <mergeCell ref="G51:H51"/>
    <mergeCell ref="A87:D87"/>
    <mergeCell ref="A48:B49"/>
    <mergeCell ref="E87:I90"/>
    <mergeCell ref="J87:N87"/>
    <mergeCell ref="F94:F95"/>
    <mergeCell ref="A52:C53"/>
    <mergeCell ref="A54:C54"/>
    <mergeCell ref="A32:B32"/>
    <mergeCell ref="N42:N45"/>
    <mergeCell ref="A88:D88"/>
    <mergeCell ref="J88:N88"/>
    <mergeCell ref="A90:D90"/>
    <mergeCell ref="J90:N90"/>
    <mergeCell ref="I92:I95"/>
    <mergeCell ref="E130:F131"/>
    <mergeCell ref="G130:H131"/>
    <mergeCell ref="M92:M95"/>
    <mergeCell ref="A91:C91"/>
    <mergeCell ref="G94:G95"/>
    <mergeCell ref="H94:H95"/>
    <mergeCell ref="N124:N125"/>
    <mergeCell ref="A128:B128"/>
    <mergeCell ref="A110:B110"/>
    <mergeCell ref="A113:B113"/>
    <mergeCell ref="A92:A95"/>
    <mergeCell ref="B92:B95"/>
    <mergeCell ref="C92:C95"/>
    <mergeCell ref="L130:L133"/>
    <mergeCell ref="N109:N110"/>
    <mergeCell ref="N130:N133"/>
    <mergeCell ref="E132:E133"/>
    <mergeCell ref="D92:D95"/>
    <mergeCell ref="E5:N5"/>
    <mergeCell ref="A5:D5"/>
    <mergeCell ref="A6:D6"/>
    <mergeCell ref="A7:D7"/>
    <mergeCell ref="A9:D9"/>
    <mergeCell ref="E6:I9"/>
    <mergeCell ref="J6:N9"/>
    <mergeCell ref="A42:A45"/>
    <mergeCell ref="B42:B45"/>
    <mergeCell ref="C42:C45"/>
    <mergeCell ref="D42:D45"/>
    <mergeCell ref="E42:F43"/>
    <mergeCell ref="G42:H43"/>
    <mergeCell ref="I42:I45"/>
    <mergeCell ref="J42:J45"/>
    <mergeCell ref="K42:K45"/>
    <mergeCell ref="M11:M14"/>
    <mergeCell ref="J11:J14"/>
    <mergeCell ref="K11:K14"/>
    <mergeCell ref="A30:B31"/>
    <mergeCell ref="A10:C10"/>
    <mergeCell ref="L42:L45"/>
    <mergeCell ref="M42:M45"/>
    <mergeCell ref="A8:D8"/>
    <mergeCell ref="A158:D158"/>
    <mergeCell ref="J158:N158"/>
    <mergeCell ref="I52:I53"/>
    <mergeCell ref="D50:D51"/>
    <mergeCell ref="A147:N147"/>
    <mergeCell ref="B148:N148"/>
    <mergeCell ref="B149:N149"/>
    <mergeCell ref="B150:N150"/>
    <mergeCell ref="B151:N151"/>
    <mergeCell ref="B152:N152"/>
    <mergeCell ref="A154:D154"/>
    <mergeCell ref="J154:N154"/>
    <mergeCell ref="G57:H57"/>
    <mergeCell ref="A59:N59"/>
    <mergeCell ref="B60:N60"/>
    <mergeCell ref="B61:N61"/>
    <mergeCell ref="B62:N62"/>
    <mergeCell ref="G144:H144"/>
    <mergeCell ref="C145:D145"/>
    <mergeCell ref="E145:F145"/>
    <mergeCell ref="G145:H145"/>
    <mergeCell ref="A83:N83"/>
    <mergeCell ref="A84:N84"/>
    <mergeCell ref="N134:N135"/>
  </mergeCells>
  <pageMargins left="0.25" right="8.3333333333333332E-3" top="0.44791666666666702" bottom="0.4270833333333329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8"/>
  <sheetViews>
    <sheetView view="pageLayout" workbookViewId="0">
      <selection activeCell="K134" sqref="K134"/>
    </sheetView>
  </sheetViews>
  <sheetFormatPr defaultColWidth="9.140625" defaultRowHeight="18" customHeight="1" x14ac:dyDescent="0.25"/>
  <cols>
    <col min="1" max="1" width="4" style="1" customWidth="1"/>
    <col min="2" max="2" width="10.85546875" style="1" customWidth="1"/>
    <col min="3" max="3" width="6.7109375" style="1" customWidth="1"/>
    <col min="4" max="4" width="7.28515625" style="1" customWidth="1"/>
    <col min="5" max="8" width="6.7109375" style="1" customWidth="1"/>
    <col min="9" max="9" width="7.7109375" style="1" customWidth="1"/>
    <col min="10" max="11" width="8.7109375" style="1" customWidth="1"/>
    <col min="12" max="12" width="6" style="1" customWidth="1"/>
    <col min="13" max="13" width="7" style="1" customWidth="1"/>
    <col min="14" max="14" width="7.28515625" style="1" customWidth="1"/>
    <col min="15" max="15" width="11.85546875" style="1" customWidth="1"/>
    <col min="16" max="16" width="9.140625" style="1"/>
    <col min="17" max="20" width="9.140625" style="1" customWidth="1"/>
    <col min="21" max="22" width="8.140625" style="1" customWidth="1"/>
    <col min="23" max="23" width="12.5703125" style="1" customWidth="1"/>
    <col min="24" max="16384" width="9.140625" style="1"/>
  </cols>
  <sheetData>
    <row r="1" spans="1:16" ht="22.15" customHeight="1" x14ac:dyDescent="0.3">
      <c r="A1" s="10" t="s">
        <v>61</v>
      </c>
      <c r="B1" s="7"/>
      <c r="C1" s="7"/>
      <c r="D1" s="7"/>
      <c r="E1" s="7"/>
      <c r="F1" s="378" t="s">
        <v>31</v>
      </c>
      <c r="G1" s="378"/>
      <c r="H1" s="378"/>
      <c r="I1" s="378"/>
      <c r="J1" s="378"/>
      <c r="K1" s="378"/>
      <c r="L1" s="378"/>
      <c r="M1" s="378"/>
      <c r="N1" s="378"/>
      <c r="O1" s="156"/>
      <c r="P1" s="156"/>
    </row>
    <row r="2" spans="1:16" ht="12" customHeight="1" x14ac:dyDescent="0.3">
      <c r="A2" s="10"/>
      <c r="B2" s="7"/>
      <c r="C2" s="7"/>
      <c r="D2" s="7"/>
      <c r="E2" s="7"/>
      <c r="F2" s="154"/>
      <c r="G2" s="154"/>
      <c r="H2" s="154"/>
      <c r="I2" s="154"/>
      <c r="J2" s="154"/>
      <c r="K2" s="154"/>
      <c r="L2" s="154"/>
      <c r="M2" s="154"/>
      <c r="N2" s="154"/>
      <c r="O2" s="156"/>
      <c r="P2" s="156"/>
    </row>
    <row r="3" spans="1:16" ht="22.15" customHeight="1" x14ac:dyDescent="0.3">
      <c r="A3" s="7" t="s">
        <v>202</v>
      </c>
      <c r="B3" s="7"/>
      <c r="C3" s="7"/>
      <c r="D3" s="7"/>
      <c r="E3" s="7"/>
      <c r="F3" s="154"/>
      <c r="G3" s="154"/>
      <c r="H3" s="154"/>
      <c r="I3" s="154"/>
      <c r="J3" s="154"/>
      <c r="K3" s="154"/>
      <c r="L3" s="154"/>
      <c r="M3" s="154"/>
      <c r="N3" s="154"/>
      <c r="O3" s="156"/>
      <c r="P3" s="156"/>
    </row>
    <row r="4" spans="1:16" ht="12" customHeight="1" x14ac:dyDescent="0.3">
      <c r="A4" s="7"/>
      <c r="B4" s="7"/>
      <c r="C4" s="7"/>
      <c r="D4" s="7"/>
      <c r="E4" s="7"/>
      <c r="F4" s="154"/>
      <c r="G4" s="154"/>
      <c r="H4" s="154"/>
      <c r="I4" s="154"/>
      <c r="J4" s="154"/>
      <c r="K4" s="154"/>
      <c r="L4" s="154"/>
      <c r="M4" s="154"/>
      <c r="N4" s="154"/>
      <c r="O4" s="156"/>
      <c r="P4" s="156"/>
    </row>
    <row r="5" spans="1:16" ht="19.149999999999999" customHeight="1" x14ac:dyDescent="0.25">
      <c r="A5" s="279" t="s">
        <v>97</v>
      </c>
      <c r="B5" s="279"/>
      <c r="C5" s="279"/>
      <c r="D5" s="279"/>
      <c r="E5" s="279" t="s">
        <v>98</v>
      </c>
      <c r="F5" s="279"/>
      <c r="G5" s="279"/>
      <c r="H5" s="279"/>
      <c r="I5" s="279"/>
      <c r="J5" s="279"/>
      <c r="K5" s="279"/>
      <c r="L5" s="279"/>
      <c r="M5" s="279"/>
      <c r="N5" s="279"/>
      <c r="O5" s="157"/>
    </row>
    <row r="6" spans="1:16" ht="19.149999999999999" customHeight="1" x14ac:dyDescent="0.25">
      <c r="A6" s="280" t="s">
        <v>90</v>
      </c>
      <c r="B6" s="280"/>
      <c r="C6" s="280"/>
      <c r="D6" s="280"/>
      <c r="E6" s="283" t="s">
        <v>148</v>
      </c>
      <c r="F6" s="283"/>
      <c r="G6" s="283"/>
      <c r="H6" s="283"/>
      <c r="I6" s="283"/>
      <c r="J6" s="284" t="s">
        <v>144</v>
      </c>
      <c r="K6" s="285"/>
      <c r="L6" s="285"/>
      <c r="M6" s="285"/>
      <c r="N6" s="286"/>
      <c r="O6" s="157"/>
    </row>
    <row r="7" spans="1:16" ht="19.149999999999999" customHeight="1" x14ac:dyDescent="0.25">
      <c r="A7" s="281" t="s">
        <v>134</v>
      </c>
      <c r="B7" s="281"/>
      <c r="C7" s="281"/>
      <c r="D7" s="281"/>
      <c r="E7" s="283"/>
      <c r="F7" s="283"/>
      <c r="G7" s="283"/>
      <c r="H7" s="283"/>
      <c r="I7" s="283"/>
      <c r="J7" s="287"/>
      <c r="K7" s="288"/>
      <c r="L7" s="288"/>
      <c r="M7" s="288"/>
      <c r="N7" s="289"/>
      <c r="O7" s="157"/>
    </row>
    <row r="8" spans="1:16" ht="19.149999999999999" customHeight="1" x14ac:dyDescent="0.25">
      <c r="A8" s="312" t="s">
        <v>157</v>
      </c>
      <c r="B8" s="313"/>
      <c r="C8" s="313"/>
      <c r="D8" s="314"/>
      <c r="E8" s="283"/>
      <c r="F8" s="283"/>
      <c r="G8" s="283"/>
      <c r="H8" s="283"/>
      <c r="I8" s="283"/>
      <c r="J8" s="287"/>
      <c r="K8" s="288"/>
      <c r="L8" s="288"/>
      <c r="M8" s="288"/>
      <c r="N8" s="289"/>
      <c r="O8" s="157"/>
    </row>
    <row r="9" spans="1:16" ht="19.149999999999999" customHeight="1" x14ac:dyDescent="0.25">
      <c r="A9" s="282" t="s">
        <v>167</v>
      </c>
      <c r="B9" s="282"/>
      <c r="C9" s="282"/>
      <c r="D9" s="282"/>
      <c r="E9" s="283"/>
      <c r="F9" s="283"/>
      <c r="G9" s="283"/>
      <c r="H9" s="283"/>
      <c r="I9" s="283"/>
      <c r="J9" s="290"/>
      <c r="K9" s="291"/>
      <c r="L9" s="291"/>
      <c r="M9" s="291"/>
      <c r="N9" s="292"/>
      <c r="O9" s="157"/>
    </row>
    <row r="10" spans="1:16" ht="19.149999999999999" customHeight="1" x14ac:dyDescent="0.3">
      <c r="A10" s="309" t="s">
        <v>122</v>
      </c>
      <c r="B10" s="310"/>
      <c r="C10" s="311"/>
      <c r="D10" s="108">
        <v>204</v>
      </c>
      <c r="E10" s="7"/>
      <c r="F10" s="154"/>
      <c r="G10" s="154"/>
      <c r="H10" s="154"/>
      <c r="I10" s="154"/>
      <c r="J10" s="154"/>
      <c r="K10" s="154"/>
      <c r="L10" s="154"/>
      <c r="M10" s="154"/>
      <c r="N10" s="154"/>
      <c r="O10" s="156"/>
      <c r="P10" s="156"/>
    </row>
    <row r="11" spans="1:16" ht="22.15" customHeight="1" x14ac:dyDescent="0.25">
      <c r="A11" s="293" t="s">
        <v>0</v>
      </c>
      <c r="B11" s="296" t="s">
        <v>19</v>
      </c>
      <c r="C11" s="296" t="s">
        <v>8</v>
      </c>
      <c r="D11" s="296" t="s">
        <v>9</v>
      </c>
      <c r="E11" s="299" t="s">
        <v>11</v>
      </c>
      <c r="F11" s="300"/>
      <c r="G11" s="299" t="s">
        <v>13</v>
      </c>
      <c r="H11" s="300"/>
      <c r="I11" s="293" t="s">
        <v>16</v>
      </c>
      <c r="J11" s="293" t="s">
        <v>41</v>
      </c>
      <c r="K11" s="293" t="s">
        <v>42</v>
      </c>
      <c r="L11" s="293" t="s">
        <v>17</v>
      </c>
      <c r="M11" s="293" t="s">
        <v>40</v>
      </c>
      <c r="N11" s="293" t="s">
        <v>18</v>
      </c>
      <c r="O11" s="158"/>
    </row>
    <row r="12" spans="1:16" ht="22.15" customHeight="1" x14ac:dyDescent="0.25">
      <c r="A12" s="294"/>
      <c r="B12" s="297"/>
      <c r="C12" s="297"/>
      <c r="D12" s="297"/>
      <c r="E12" s="301"/>
      <c r="F12" s="302"/>
      <c r="G12" s="301"/>
      <c r="H12" s="302"/>
      <c r="I12" s="303"/>
      <c r="J12" s="303"/>
      <c r="K12" s="303"/>
      <c r="L12" s="303"/>
      <c r="M12" s="303"/>
      <c r="N12" s="294"/>
      <c r="O12" s="149"/>
    </row>
    <row r="13" spans="1:16" ht="22.15" customHeight="1" x14ac:dyDescent="0.25">
      <c r="A13" s="294"/>
      <c r="B13" s="297"/>
      <c r="C13" s="297"/>
      <c r="D13" s="297"/>
      <c r="E13" s="293" t="s">
        <v>10</v>
      </c>
      <c r="F13" s="293" t="s">
        <v>12</v>
      </c>
      <c r="G13" s="293" t="s">
        <v>14</v>
      </c>
      <c r="H13" s="293" t="s">
        <v>15</v>
      </c>
      <c r="I13" s="303"/>
      <c r="J13" s="303"/>
      <c r="K13" s="303"/>
      <c r="L13" s="303"/>
      <c r="M13" s="303"/>
      <c r="N13" s="294"/>
      <c r="O13" s="149"/>
    </row>
    <row r="14" spans="1:16" ht="22.15" customHeight="1" x14ac:dyDescent="0.25">
      <c r="A14" s="295"/>
      <c r="B14" s="298"/>
      <c r="C14" s="298"/>
      <c r="D14" s="298"/>
      <c r="E14" s="304"/>
      <c r="F14" s="304"/>
      <c r="G14" s="304"/>
      <c r="H14" s="304"/>
      <c r="I14" s="304"/>
      <c r="J14" s="304"/>
      <c r="K14" s="304"/>
      <c r="L14" s="304"/>
      <c r="M14" s="304"/>
      <c r="N14" s="295"/>
      <c r="O14" s="149"/>
    </row>
    <row r="15" spans="1:16" ht="19.899999999999999" customHeight="1" x14ac:dyDescent="0.25">
      <c r="A15" s="318" t="s">
        <v>34</v>
      </c>
      <c r="B15" s="319"/>
      <c r="C15" s="319"/>
      <c r="D15" s="319"/>
      <c r="E15" s="319"/>
      <c r="F15" s="319"/>
      <c r="G15" s="319"/>
      <c r="H15" s="319"/>
      <c r="I15" s="319"/>
      <c r="J15" s="319"/>
      <c r="K15" s="319"/>
      <c r="L15" s="319"/>
      <c r="M15" s="319"/>
      <c r="N15" s="320"/>
      <c r="O15" s="149"/>
    </row>
    <row r="16" spans="1:16" ht="19.899999999999999" customHeight="1" x14ac:dyDescent="0.25">
      <c r="A16" s="13">
        <v>1</v>
      </c>
      <c r="B16" s="14" t="s">
        <v>2</v>
      </c>
      <c r="C16" s="43">
        <f>L16/100*100</f>
        <v>260</v>
      </c>
      <c r="D16" s="44">
        <f>C16/100*60</f>
        <v>156</v>
      </c>
      <c r="E16" s="45">
        <f>C16/100*15</f>
        <v>39</v>
      </c>
      <c r="F16" s="45"/>
      <c r="G16" s="45"/>
      <c r="H16" s="45"/>
      <c r="I16" s="45"/>
      <c r="J16" s="79">
        <f>C16/100*387</f>
        <v>1006.2</v>
      </c>
      <c r="K16" s="79">
        <f>C16/100*0.09</f>
        <v>0.23399999999999999</v>
      </c>
      <c r="L16" s="159">
        <v>260</v>
      </c>
      <c r="M16" s="63">
        <v>20</v>
      </c>
      <c r="N16" s="43">
        <f>L16*M16</f>
        <v>5200</v>
      </c>
      <c r="O16" s="15"/>
    </row>
    <row r="17" spans="1:20" ht="19.899999999999999" customHeight="1" x14ac:dyDescent="0.25">
      <c r="A17" s="8">
        <v>2</v>
      </c>
      <c r="B17" s="124" t="s">
        <v>141</v>
      </c>
      <c r="C17" s="20">
        <f>L17/100*100</f>
        <v>620</v>
      </c>
      <c r="D17" s="21">
        <f>C17/100*899</f>
        <v>5573.8</v>
      </c>
      <c r="E17" s="22"/>
      <c r="F17" s="22"/>
      <c r="G17" s="22">
        <f>C17/100*100</f>
        <v>620</v>
      </c>
      <c r="H17" s="22"/>
      <c r="I17" s="22"/>
      <c r="J17" s="24"/>
      <c r="K17" s="24"/>
      <c r="L17" s="116">
        <v>620</v>
      </c>
      <c r="M17" s="61">
        <v>68</v>
      </c>
      <c r="N17" s="20">
        <f t="shared" ref="N17" si="0">L17*M17</f>
        <v>42160</v>
      </c>
      <c r="O17" s="3"/>
    </row>
    <row r="18" spans="1:20" ht="19.899999999999999" customHeight="1" x14ac:dyDescent="0.25">
      <c r="A18" s="8">
        <v>3</v>
      </c>
      <c r="B18" s="4" t="s">
        <v>1</v>
      </c>
      <c r="C18" s="20">
        <f>L18/100*100</f>
        <v>19380</v>
      </c>
      <c r="D18" s="100">
        <f>C18/100*344</f>
        <v>66667.199999999997</v>
      </c>
      <c r="E18" s="115"/>
      <c r="F18" s="99">
        <f>C18/100*7.9</f>
        <v>1531.0200000000002</v>
      </c>
      <c r="G18" s="115"/>
      <c r="H18" s="22">
        <f>C18/100*1</f>
        <v>193.8</v>
      </c>
      <c r="I18" s="99">
        <f>C18/100*72</f>
        <v>13953.6</v>
      </c>
      <c r="J18" s="24">
        <f>C18/100*30</f>
        <v>5814</v>
      </c>
      <c r="K18" s="24">
        <f>C18/100*0.1</f>
        <v>19.380000000000003</v>
      </c>
      <c r="L18" s="116">
        <v>19380</v>
      </c>
      <c r="M18" s="63">
        <v>18</v>
      </c>
      <c r="N18" s="20">
        <f t="shared" ref="N18:N26" si="1">L18*M18</f>
        <v>348840</v>
      </c>
      <c r="O18" s="15"/>
    </row>
    <row r="19" spans="1:20" ht="19.899999999999999" customHeight="1" x14ac:dyDescent="0.25">
      <c r="A19" s="8">
        <v>4</v>
      </c>
      <c r="B19" s="4" t="s">
        <v>93</v>
      </c>
      <c r="C19" s="20">
        <f>L19/100*81.7</f>
        <v>5841.55</v>
      </c>
      <c r="D19" s="21">
        <f>C19/100*27</f>
        <v>1577.2184999999999</v>
      </c>
      <c r="E19" s="25"/>
      <c r="F19" s="25">
        <f>C19/100*0.3</f>
        <v>17.524650000000001</v>
      </c>
      <c r="G19" s="25"/>
      <c r="H19" s="25">
        <f>C19/100*0.1</f>
        <v>5.8415500000000007</v>
      </c>
      <c r="I19" s="25">
        <f>C19/100*6.1</f>
        <v>356.33454999999998</v>
      </c>
      <c r="J19" s="60">
        <f>C19/100*24</f>
        <v>1401.972</v>
      </c>
      <c r="K19" s="60">
        <f>C19/100*0.06</f>
        <v>3.5049299999999999</v>
      </c>
      <c r="L19" s="161">
        <v>7150</v>
      </c>
      <c r="M19" s="23">
        <v>22</v>
      </c>
      <c r="N19" s="20">
        <f t="shared" si="1"/>
        <v>157300</v>
      </c>
      <c r="O19" s="3"/>
      <c r="Q19" s="2"/>
      <c r="R19" s="2"/>
      <c r="S19" s="3"/>
    </row>
    <row r="20" spans="1:20" ht="19.899999999999999" customHeight="1" x14ac:dyDescent="0.25">
      <c r="A20" s="8">
        <v>5</v>
      </c>
      <c r="B20" s="4" t="s">
        <v>4</v>
      </c>
      <c r="C20" s="20">
        <f>L20/100*98.5</f>
        <v>2009.3999999999999</v>
      </c>
      <c r="D20" s="21">
        <f>C20/100*39</f>
        <v>783.66599999999994</v>
      </c>
      <c r="E20" s="25"/>
      <c r="F20" s="25">
        <f>C20/100*1.5</f>
        <v>30.140999999999998</v>
      </c>
      <c r="G20" s="25"/>
      <c r="H20" s="25">
        <f>C20/100*0.2</f>
        <v>4.0187999999999997</v>
      </c>
      <c r="I20" s="25">
        <f>C20/100*7.8</f>
        <v>156.73319999999998</v>
      </c>
      <c r="J20" s="25">
        <f>C20/100*43</f>
        <v>864.04199999999992</v>
      </c>
      <c r="K20" s="25">
        <f>C20/100*0.06</f>
        <v>1.2056399999999998</v>
      </c>
      <c r="L20" s="161">
        <v>2040</v>
      </c>
      <c r="M20" s="23">
        <v>17</v>
      </c>
      <c r="N20" s="20">
        <f t="shared" si="1"/>
        <v>34680</v>
      </c>
      <c r="O20" s="3"/>
      <c r="Q20" s="2"/>
      <c r="R20" s="2"/>
      <c r="S20" s="3"/>
    </row>
    <row r="21" spans="1:20" ht="19.899999999999999" customHeight="1" x14ac:dyDescent="0.25">
      <c r="A21" s="8">
        <v>6</v>
      </c>
      <c r="B21" s="4" t="s">
        <v>75</v>
      </c>
      <c r="C21" s="20">
        <f>L21/100*75</f>
        <v>1530</v>
      </c>
      <c r="D21" s="21">
        <f>C21/100*12</f>
        <v>183.60000000000002</v>
      </c>
      <c r="E21" s="22"/>
      <c r="F21" s="22">
        <f>C21/100*0.6</f>
        <v>9.18</v>
      </c>
      <c r="G21" s="22"/>
      <c r="H21" s="22"/>
      <c r="I21" s="22">
        <f>C21/100*2.4</f>
        <v>36.72</v>
      </c>
      <c r="J21" s="22">
        <f>C21/100*26</f>
        <v>397.8</v>
      </c>
      <c r="K21" s="22">
        <f>C21/100*0.02</f>
        <v>0.30599999999999999</v>
      </c>
      <c r="L21" s="116">
        <v>2040</v>
      </c>
      <c r="M21" s="61">
        <v>30</v>
      </c>
      <c r="N21" s="20">
        <f t="shared" si="1"/>
        <v>61200</v>
      </c>
      <c r="O21" s="3"/>
    </row>
    <row r="22" spans="1:20" ht="19.899999999999999" customHeight="1" x14ac:dyDescent="0.25">
      <c r="A22" s="8">
        <v>7</v>
      </c>
      <c r="B22" s="4" t="s">
        <v>136</v>
      </c>
      <c r="C22" s="20">
        <f>L22/100*100</f>
        <v>210</v>
      </c>
      <c r="D22" s="21">
        <f>C22/100*247</f>
        <v>518.70000000000005</v>
      </c>
      <c r="E22" s="25"/>
      <c r="F22" s="25">
        <f>C22/100*17.5</f>
        <v>36.75</v>
      </c>
      <c r="G22" s="25"/>
      <c r="H22" s="25">
        <f>C22/100*1.6</f>
        <v>3.3600000000000003</v>
      </c>
      <c r="I22" s="25">
        <f>C22/100*39.2</f>
        <v>82.320000000000007</v>
      </c>
      <c r="J22" s="60"/>
      <c r="K22" s="60"/>
      <c r="L22" s="161">
        <v>210</v>
      </c>
      <c r="M22" s="61">
        <v>50</v>
      </c>
      <c r="N22" s="20">
        <f t="shared" si="1"/>
        <v>10500</v>
      </c>
      <c r="O22" s="3"/>
      <c r="Q22" s="2"/>
      <c r="R22" s="2"/>
      <c r="S22" s="3"/>
      <c r="T22" s="2"/>
    </row>
    <row r="23" spans="1:20" ht="19.899999999999999" customHeight="1" x14ac:dyDescent="0.25">
      <c r="A23" s="8">
        <v>8</v>
      </c>
      <c r="B23" s="4" t="s">
        <v>20</v>
      </c>
      <c r="C23" s="20">
        <f>L23/100*95</f>
        <v>1937.9999999999998</v>
      </c>
      <c r="D23" s="21">
        <f>C23/100*20</f>
        <v>387.59999999999997</v>
      </c>
      <c r="E23" s="22"/>
      <c r="F23" s="22">
        <f>C23/100*0.6</f>
        <v>11.627999999999998</v>
      </c>
      <c r="G23" s="22"/>
      <c r="H23" s="22">
        <f>C23/100*0.2</f>
        <v>3.8759999999999999</v>
      </c>
      <c r="I23" s="22">
        <f>C23/100*4</f>
        <v>77.52</v>
      </c>
      <c r="J23" s="60">
        <f>C23/100*12</f>
        <v>232.56</v>
      </c>
      <c r="K23" s="60">
        <f>C23/100*0.04</f>
        <v>0.7752</v>
      </c>
      <c r="L23" s="161">
        <v>2040</v>
      </c>
      <c r="M23" s="61">
        <v>40</v>
      </c>
      <c r="N23" s="20">
        <f t="shared" si="1"/>
        <v>81600</v>
      </c>
      <c r="O23" s="3"/>
      <c r="Q23" s="2"/>
      <c r="R23" s="2"/>
    </row>
    <row r="24" spans="1:20" ht="19.899999999999999" customHeight="1" x14ac:dyDescent="0.25">
      <c r="A24" s="8">
        <v>9</v>
      </c>
      <c r="B24" s="4" t="s">
        <v>69</v>
      </c>
      <c r="C24" s="20">
        <f>L24/100*48</f>
        <v>1795.1999999999998</v>
      </c>
      <c r="D24" s="21">
        <f>C24/100*199</f>
        <v>3572.4479999999994</v>
      </c>
      <c r="E24" s="22">
        <f>C24/100*20.3</f>
        <v>364.42559999999997</v>
      </c>
      <c r="F24" s="22"/>
      <c r="G24" s="22">
        <f>C24/100*13.1</f>
        <v>235.17119999999997</v>
      </c>
      <c r="H24" s="22"/>
      <c r="I24" s="22"/>
      <c r="J24" s="24">
        <f>C24/100*12</f>
        <v>215.42399999999998</v>
      </c>
      <c r="K24" s="24">
        <f>C24/100*0.15</f>
        <v>2.6927999999999996</v>
      </c>
      <c r="L24" s="116">
        <v>3740</v>
      </c>
      <c r="M24" s="23">
        <v>84</v>
      </c>
      <c r="N24" s="20">
        <f t="shared" si="1"/>
        <v>314160</v>
      </c>
      <c r="O24" s="3"/>
      <c r="Q24" s="2"/>
      <c r="R24" s="2"/>
      <c r="S24" s="3"/>
    </row>
    <row r="25" spans="1:20" ht="19.899999999999999" customHeight="1" x14ac:dyDescent="0.25">
      <c r="A25" s="8">
        <v>10</v>
      </c>
      <c r="B25" s="9" t="s">
        <v>74</v>
      </c>
      <c r="C25" s="20">
        <f>L25/100*98</f>
        <v>2009</v>
      </c>
      <c r="D25" s="21">
        <f>C25/100*139</f>
        <v>2792.5099999999998</v>
      </c>
      <c r="E25" s="22">
        <f>C25/100*19</f>
        <v>381.71</v>
      </c>
      <c r="F25" s="22"/>
      <c r="G25" s="22">
        <f>C25/100*7</f>
        <v>140.63</v>
      </c>
      <c r="H25" s="22"/>
      <c r="I25" s="22"/>
      <c r="J25" s="22">
        <f>C25/100*7</f>
        <v>140.63</v>
      </c>
      <c r="K25" s="22">
        <f>C25/100*0.9</f>
        <v>18.081</v>
      </c>
      <c r="L25" s="116">
        <v>2050</v>
      </c>
      <c r="M25" s="61">
        <v>130</v>
      </c>
      <c r="N25" s="20">
        <f t="shared" si="1"/>
        <v>266500</v>
      </c>
      <c r="O25" s="3"/>
    </row>
    <row r="26" spans="1:20" ht="19.899999999999999" customHeight="1" x14ac:dyDescent="0.25">
      <c r="A26" s="8">
        <v>11</v>
      </c>
      <c r="B26" s="4" t="s">
        <v>3</v>
      </c>
      <c r="C26" s="20">
        <f>L26/100*98</f>
        <v>6487.6</v>
      </c>
      <c r="D26" s="21">
        <f>C26/100*118</f>
        <v>7655.3680000000004</v>
      </c>
      <c r="E26" s="99">
        <f>C26/100*27</f>
        <v>1751.652</v>
      </c>
      <c r="F26" s="22"/>
      <c r="G26" s="22">
        <f>C26/100*3.8</f>
        <v>246.52880000000002</v>
      </c>
      <c r="H26" s="22"/>
      <c r="I26" s="22"/>
      <c r="J26" s="60">
        <f>C26/100*12</f>
        <v>778.51200000000006</v>
      </c>
      <c r="K26" s="60">
        <f>C26/100*0.1</f>
        <v>6.4876000000000005</v>
      </c>
      <c r="L26" s="161">
        <v>6620</v>
      </c>
      <c r="M26" s="63">
        <v>250</v>
      </c>
      <c r="N26" s="104">
        <f t="shared" si="1"/>
        <v>1655000</v>
      </c>
      <c r="O26" s="15"/>
      <c r="Q26" s="2"/>
      <c r="R26" s="2"/>
    </row>
    <row r="27" spans="1:20" ht="19.899999999999999" customHeight="1" x14ac:dyDescent="0.25">
      <c r="A27" s="8">
        <v>12</v>
      </c>
      <c r="B27" s="5" t="s">
        <v>123</v>
      </c>
      <c r="C27" s="20"/>
      <c r="D27" s="21"/>
      <c r="E27" s="22"/>
      <c r="F27" s="22"/>
      <c r="G27" s="22"/>
      <c r="H27" s="22"/>
      <c r="I27" s="22"/>
      <c r="J27" s="22"/>
      <c r="K27" s="22"/>
      <c r="L27" s="23"/>
      <c r="M27" s="23"/>
      <c r="N27" s="20">
        <v>15750</v>
      </c>
      <c r="O27" s="3"/>
    </row>
    <row r="28" spans="1:20" ht="19.899999999999999" customHeight="1" x14ac:dyDescent="0.25">
      <c r="A28" s="18" t="s">
        <v>105</v>
      </c>
      <c r="B28" s="19"/>
      <c r="C28" s="29"/>
      <c r="D28" s="101">
        <f>SUM(D16:D26)</f>
        <v>89868.11050000001</v>
      </c>
      <c r="E28" s="31"/>
      <c r="F28" s="31"/>
      <c r="G28" s="31"/>
      <c r="H28" s="31"/>
      <c r="I28" s="31"/>
      <c r="J28" s="31"/>
      <c r="K28" s="31"/>
      <c r="L28" s="32"/>
      <c r="M28" s="32"/>
      <c r="N28" s="384">
        <f>SUM(N16:N27)</f>
        <v>2992890</v>
      </c>
      <c r="O28" s="3"/>
    </row>
    <row r="29" spans="1:20" ht="19.899999999999999" customHeight="1" x14ac:dyDescent="0.25">
      <c r="A29" s="18" t="s">
        <v>6</v>
      </c>
      <c r="B29" s="19"/>
      <c r="C29" s="29"/>
      <c r="D29" s="30">
        <f>D28/D10</f>
        <v>440.52995343137258</v>
      </c>
      <c r="E29" s="31"/>
      <c r="F29" s="31"/>
      <c r="G29" s="31"/>
      <c r="H29" s="31"/>
      <c r="I29" s="31"/>
      <c r="J29" s="31"/>
      <c r="K29" s="31"/>
      <c r="L29" s="32"/>
      <c r="M29" s="32"/>
      <c r="N29" s="385"/>
      <c r="O29" s="3"/>
    </row>
    <row r="30" spans="1:20" ht="19.899999999999999" customHeight="1" x14ac:dyDescent="0.25">
      <c r="A30" s="380" t="s">
        <v>51</v>
      </c>
      <c r="B30" s="306"/>
      <c r="C30" s="173" t="s">
        <v>151</v>
      </c>
      <c r="D30" s="17" t="s">
        <v>45</v>
      </c>
      <c r="E30" s="31"/>
      <c r="F30" s="31"/>
      <c r="G30" s="31"/>
      <c r="H30" s="31"/>
      <c r="I30" s="31"/>
      <c r="J30" s="31"/>
      <c r="K30" s="31"/>
      <c r="L30" s="32"/>
      <c r="M30" s="32"/>
      <c r="N30" s="33"/>
      <c r="O30" s="3"/>
    </row>
    <row r="31" spans="1:20" ht="19.899999999999999" customHeight="1" x14ac:dyDescent="0.25">
      <c r="A31" s="307"/>
      <c r="B31" s="308"/>
      <c r="C31" s="62" t="s">
        <v>59</v>
      </c>
      <c r="D31" s="17">
        <f>D29*100/1320</f>
        <v>33.373481320558525</v>
      </c>
      <c r="E31" s="31"/>
      <c r="F31" s="31"/>
      <c r="G31" s="31"/>
      <c r="H31" s="31"/>
      <c r="I31" s="31"/>
      <c r="J31" s="31"/>
      <c r="K31" s="31"/>
      <c r="L31" s="32"/>
      <c r="M31" s="32"/>
      <c r="N31" s="33"/>
      <c r="O31" s="3"/>
    </row>
    <row r="32" spans="1:20" ht="19.899999999999999" customHeight="1" x14ac:dyDescent="0.3">
      <c r="A32" s="316" t="s">
        <v>35</v>
      </c>
      <c r="B32" s="316"/>
      <c r="C32" s="47"/>
      <c r="D32" s="48"/>
      <c r="E32" s="49"/>
      <c r="F32" s="49"/>
      <c r="G32" s="49"/>
      <c r="H32" s="49"/>
      <c r="I32" s="49"/>
      <c r="J32" s="49"/>
      <c r="K32" s="49"/>
      <c r="L32" s="50"/>
      <c r="M32" s="50"/>
      <c r="N32" s="58"/>
      <c r="O32" s="3"/>
    </row>
    <row r="33" spans="1:20" ht="19.899999999999999" customHeight="1" x14ac:dyDescent="0.25">
      <c r="A33" s="13">
        <v>1</v>
      </c>
      <c r="B33" s="5" t="s">
        <v>123</v>
      </c>
      <c r="C33" s="43"/>
      <c r="D33" s="44"/>
      <c r="E33" s="45"/>
      <c r="F33" s="45"/>
      <c r="G33" s="45"/>
      <c r="H33" s="45"/>
      <c r="I33" s="45"/>
      <c r="J33" s="45"/>
      <c r="K33" s="45"/>
      <c r="L33" s="46"/>
      <c r="M33" s="46"/>
      <c r="N33" s="43">
        <v>13000</v>
      </c>
      <c r="O33" s="3"/>
    </row>
    <row r="34" spans="1:20" ht="19.899999999999999" customHeight="1" x14ac:dyDescent="0.25">
      <c r="A34" s="8">
        <v>2</v>
      </c>
      <c r="B34" s="4" t="s">
        <v>1</v>
      </c>
      <c r="C34" s="20">
        <f t="shared" ref="C34:C39" si="2">L34/100*100</f>
        <v>3060</v>
      </c>
      <c r="D34" s="100">
        <f>C34/100*344</f>
        <v>10526.4</v>
      </c>
      <c r="E34" s="22"/>
      <c r="F34" s="22">
        <f>C34/100*7.9</f>
        <v>241.74</v>
      </c>
      <c r="G34" s="22"/>
      <c r="H34" s="22">
        <f>C34/100*1</f>
        <v>30.6</v>
      </c>
      <c r="I34" s="22">
        <f>C34/100*72</f>
        <v>2203.2000000000003</v>
      </c>
      <c r="J34" s="24">
        <f>C34/100*30</f>
        <v>918</v>
      </c>
      <c r="K34" s="24">
        <f>C34/100*0.1</f>
        <v>3.0600000000000005</v>
      </c>
      <c r="L34" s="116">
        <v>3060</v>
      </c>
      <c r="M34" s="63">
        <v>18</v>
      </c>
      <c r="N34" s="20">
        <f t="shared" ref="N34:N42" si="3">L34*M34</f>
        <v>55080</v>
      </c>
      <c r="O34" s="15"/>
    </row>
    <row r="35" spans="1:20" ht="19.899999999999999" customHeight="1" x14ac:dyDescent="0.25">
      <c r="A35" s="8">
        <v>3</v>
      </c>
      <c r="B35" s="4" t="s">
        <v>73</v>
      </c>
      <c r="C35" s="20">
        <f t="shared" si="2"/>
        <v>2039.9999999999998</v>
      </c>
      <c r="D35" s="21">
        <f>C35/100*344</f>
        <v>7017.5999999999995</v>
      </c>
      <c r="E35" s="22"/>
      <c r="F35" s="22">
        <f>C35/100*8.6</f>
        <v>175.43999999999997</v>
      </c>
      <c r="G35" s="22"/>
      <c r="H35" s="22">
        <f>C35/100*1.5</f>
        <v>30.599999999999998</v>
      </c>
      <c r="I35" s="22">
        <f>C35/100*74.5</f>
        <v>1519.8</v>
      </c>
      <c r="J35" s="22">
        <f>C35/100*32</f>
        <v>652.79999999999995</v>
      </c>
      <c r="K35" s="22">
        <f>C35/100*0.14</f>
        <v>2.8559999999999999</v>
      </c>
      <c r="L35" s="116">
        <v>2040</v>
      </c>
      <c r="M35" s="61">
        <v>30</v>
      </c>
      <c r="N35" s="20">
        <f t="shared" si="3"/>
        <v>61200</v>
      </c>
      <c r="O35" s="3"/>
      <c r="P35" s="15"/>
    </row>
    <row r="36" spans="1:20" ht="19.899999999999999" customHeight="1" x14ac:dyDescent="0.25">
      <c r="A36" s="8">
        <v>4</v>
      </c>
      <c r="B36" s="14" t="s">
        <v>2</v>
      </c>
      <c r="C36" s="43">
        <f t="shared" si="2"/>
        <v>250</v>
      </c>
      <c r="D36" s="44">
        <f>C36/100*60</f>
        <v>150</v>
      </c>
      <c r="E36" s="45">
        <f>C36/100*15</f>
        <v>37.5</v>
      </c>
      <c r="F36" s="45"/>
      <c r="G36" s="45"/>
      <c r="H36" s="45"/>
      <c r="I36" s="45"/>
      <c r="J36" s="79">
        <f>C36/100*387</f>
        <v>967.5</v>
      </c>
      <c r="K36" s="79">
        <f>C36/100*0.09</f>
        <v>0.22499999999999998</v>
      </c>
      <c r="L36" s="159">
        <v>250</v>
      </c>
      <c r="M36" s="63">
        <v>20</v>
      </c>
      <c r="N36" s="20">
        <f t="shared" si="3"/>
        <v>5000</v>
      </c>
      <c r="O36" s="3"/>
    </row>
    <row r="37" spans="1:20" ht="19.899999999999999" customHeight="1" x14ac:dyDescent="0.25">
      <c r="A37" s="8">
        <v>5</v>
      </c>
      <c r="B37" s="4" t="s">
        <v>136</v>
      </c>
      <c r="C37" s="20">
        <f t="shared" si="2"/>
        <v>130</v>
      </c>
      <c r="D37" s="21">
        <f>C37/100*247</f>
        <v>321.10000000000002</v>
      </c>
      <c r="E37" s="25"/>
      <c r="F37" s="25">
        <f>C37/100*17.5</f>
        <v>22.75</v>
      </c>
      <c r="G37" s="25"/>
      <c r="H37" s="25">
        <f>C37/100*1.6</f>
        <v>2.08</v>
      </c>
      <c r="I37" s="25">
        <f>C37/100*39.2</f>
        <v>50.960000000000008</v>
      </c>
      <c r="J37" s="60"/>
      <c r="K37" s="60"/>
      <c r="L37" s="161">
        <v>130</v>
      </c>
      <c r="M37" s="61">
        <v>50</v>
      </c>
      <c r="N37" s="20">
        <f t="shared" si="3"/>
        <v>6500</v>
      </c>
      <c r="O37" s="3"/>
      <c r="Q37" s="2"/>
      <c r="R37" s="2"/>
      <c r="S37" s="3"/>
      <c r="T37" s="2"/>
    </row>
    <row r="38" spans="1:20" ht="19.899999999999999" customHeight="1" x14ac:dyDescent="0.25">
      <c r="A38" s="8">
        <v>6</v>
      </c>
      <c r="B38" s="65" t="s">
        <v>141</v>
      </c>
      <c r="C38" s="20">
        <f t="shared" si="2"/>
        <v>1430</v>
      </c>
      <c r="D38" s="100">
        <f>C38/100*899</f>
        <v>12855.7</v>
      </c>
      <c r="E38" s="22"/>
      <c r="F38" s="22"/>
      <c r="G38" s="99">
        <f>C38/100*99.6</f>
        <v>1424.28</v>
      </c>
      <c r="H38" s="22"/>
      <c r="I38" s="22"/>
      <c r="J38" s="22"/>
      <c r="K38" s="22"/>
      <c r="L38" s="116">
        <v>1430</v>
      </c>
      <c r="M38" s="21">
        <v>68</v>
      </c>
      <c r="N38" s="20">
        <f t="shared" si="3"/>
        <v>97240</v>
      </c>
      <c r="O38" s="160"/>
    </row>
    <row r="39" spans="1:20" ht="19.899999999999999" customHeight="1" x14ac:dyDescent="0.25">
      <c r="A39" s="8">
        <v>7</v>
      </c>
      <c r="B39" s="126" t="s">
        <v>146</v>
      </c>
      <c r="C39" s="20">
        <f t="shared" si="2"/>
        <v>210</v>
      </c>
      <c r="D39" s="100">
        <f>C39/100*900</f>
        <v>1890</v>
      </c>
      <c r="E39" s="22"/>
      <c r="F39" s="22"/>
      <c r="G39" s="99"/>
      <c r="H39" s="22">
        <f>C39/100*100</f>
        <v>210</v>
      </c>
      <c r="I39" s="22"/>
      <c r="J39" s="22"/>
      <c r="K39" s="22"/>
      <c r="L39" s="116">
        <v>210</v>
      </c>
      <c r="M39" s="61">
        <v>63.5</v>
      </c>
      <c r="N39" s="20">
        <f t="shared" si="3"/>
        <v>13335</v>
      </c>
      <c r="O39" s="160"/>
    </row>
    <row r="40" spans="1:20" ht="19.899999999999999" customHeight="1" x14ac:dyDescent="0.25">
      <c r="A40" s="8">
        <v>8</v>
      </c>
      <c r="B40" s="4" t="s">
        <v>4</v>
      </c>
      <c r="C40" s="20">
        <f>L40/100*98.5</f>
        <v>2009.3999999999999</v>
      </c>
      <c r="D40" s="21">
        <f>C40/100*39</f>
        <v>783.66599999999994</v>
      </c>
      <c r="E40" s="25"/>
      <c r="F40" s="25">
        <f>C40/100*1.5</f>
        <v>30.140999999999998</v>
      </c>
      <c r="G40" s="25"/>
      <c r="H40" s="25">
        <f>C40/100*0.2</f>
        <v>4.0187999999999997</v>
      </c>
      <c r="I40" s="25">
        <f>C40/100*7.8</f>
        <v>156.73319999999998</v>
      </c>
      <c r="J40" s="60">
        <f>C40/100*43</f>
        <v>864.04199999999992</v>
      </c>
      <c r="K40" s="60">
        <f>C40/100*0.06</f>
        <v>1.2056399999999998</v>
      </c>
      <c r="L40" s="161">
        <v>2040</v>
      </c>
      <c r="M40" s="23">
        <v>17</v>
      </c>
      <c r="N40" s="20">
        <f t="shared" si="3"/>
        <v>34680</v>
      </c>
      <c r="O40" s="3"/>
      <c r="Q40" s="2"/>
      <c r="R40" s="2"/>
      <c r="S40" s="3"/>
    </row>
    <row r="41" spans="1:20" ht="19.899999999999999" customHeight="1" x14ac:dyDescent="0.25">
      <c r="A41" s="8">
        <v>9</v>
      </c>
      <c r="B41" s="9" t="s">
        <v>64</v>
      </c>
      <c r="C41" s="20">
        <f>L41/100*40</f>
        <v>1944</v>
      </c>
      <c r="D41" s="21">
        <f>C41/100*276</f>
        <v>5365.4400000000005</v>
      </c>
      <c r="E41" s="22">
        <f>C41/100*17.8</f>
        <v>346.03200000000004</v>
      </c>
      <c r="F41" s="115"/>
      <c r="G41" s="22">
        <f>C41/100*21.8</f>
        <v>423.79200000000003</v>
      </c>
      <c r="H41" s="22"/>
      <c r="I41" s="22"/>
      <c r="J41" s="24">
        <f>C41/100*13</f>
        <v>252.72000000000003</v>
      </c>
      <c r="K41" s="24">
        <f>C41/100*0.07</f>
        <v>1.3608000000000002</v>
      </c>
      <c r="L41" s="116">
        <v>4860</v>
      </c>
      <c r="M41" s="61">
        <v>63</v>
      </c>
      <c r="N41" s="114">
        <f t="shared" si="3"/>
        <v>306180</v>
      </c>
      <c r="O41" s="3"/>
    </row>
    <row r="42" spans="1:20" ht="19.899999999999999" customHeight="1" x14ac:dyDescent="0.25">
      <c r="A42" s="86">
        <v>10</v>
      </c>
      <c r="B42" s="133" t="s">
        <v>149</v>
      </c>
      <c r="C42" s="87">
        <f>L42/100*100</f>
        <v>3470.0000000000005</v>
      </c>
      <c r="D42" s="144">
        <f>C42/100*487</f>
        <v>16898.900000000001</v>
      </c>
      <c r="E42" s="89"/>
      <c r="F42" s="89">
        <f>C42/100*19.5</f>
        <v>676.65000000000009</v>
      </c>
      <c r="G42" s="89"/>
      <c r="H42" s="89">
        <f>C42/100*23.2</f>
        <v>805.04000000000008</v>
      </c>
      <c r="I42" s="89">
        <f>C42/100*46</f>
        <v>1596.2</v>
      </c>
      <c r="J42" s="125">
        <f>C42/100*680</f>
        <v>23596.000000000004</v>
      </c>
      <c r="K42" s="89">
        <f>C42/100*0.55</f>
        <v>19.085000000000004</v>
      </c>
      <c r="L42" s="90">
        <v>3470</v>
      </c>
      <c r="M42" s="134">
        <v>260</v>
      </c>
      <c r="N42" s="87">
        <f t="shared" si="3"/>
        <v>902200</v>
      </c>
      <c r="O42" s="3"/>
      <c r="P42" s="2"/>
    </row>
    <row r="43" spans="1:20" ht="21.6" customHeight="1" x14ac:dyDescent="0.25">
      <c r="A43" s="293" t="s">
        <v>0</v>
      </c>
      <c r="B43" s="296" t="s">
        <v>19</v>
      </c>
      <c r="C43" s="296" t="s">
        <v>8</v>
      </c>
      <c r="D43" s="296" t="s">
        <v>9</v>
      </c>
      <c r="E43" s="299" t="s">
        <v>11</v>
      </c>
      <c r="F43" s="300"/>
      <c r="G43" s="299" t="s">
        <v>13</v>
      </c>
      <c r="H43" s="300"/>
      <c r="I43" s="293" t="s">
        <v>16</v>
      </c>
      <c r="J43" s="293" t="s">
        <v>41</v>
      </c>
      <c r="K43" s="293" t="s">
        <v>42</v>
      </c>
      <c r="L43" s="293" t="s">
        <v>17</v>
      </c>
      <c r="M43" s="293" t="s">
        <v>40</v>
      </c>
      <c r="N43" s="293" t="s">
        <v>18</v>
      </c>
      <c r="O43" s="158"/>
    </row>
    <row r="44" spans="1:20" ht="21.6" customHeight="1" x14ac:dyDescent="0.25">
      <c r="A44" s="294"/>
      <c r="B44" s="297"/>
      <c r="C44" s="297"/>
      <c r="D44" s="297"/>
      <c r="E44" s="301"/>
      <c r="F44" s="302"/>
      <c r="G44" s="301"/>
      <c r="H44" s="302"/>
      <c r="I44" s="303"/>
      <c r="J44" s="303"/>
      <c r="K44" s="303"/>
      <c r="L44" s="303"/>
      <c r="M44" s="303"/>
      <c r="N44" s="294"/>
      <c r="O44" s="149"/>
    </row>
    <row r="45" spans="1:20" ht="21.6" customHeight="1" x14ac:dyDescent="0.25">
      <c r="A45" s="294"/>
      <c r="B45" s="297"/>
      <c r="C45" s="297"/>
      <c r="D45" s="297"/>
      <c r="E45" s="293" t="s">
        <v>10</v>
      </c>
      <c r="F45" s="293" t="s">
        <v>12</v>
      </c>
      <c r="G45" s="293" t="s">
        <v>14</v>
      </c>
      <c r="H45" s="293" t="s">
        <v>15</v>
      </c>
      <c r="I45" s="303"/>
      <c r="J45" s="303"/>
      <c r="K45" s="303"/>
      <c r="L45" s="303"/>
      <c r="M45" s="303"/>
      <c r="N45" s="294"/>
      <c r="O45" s="149"/>
    </row>
    <row r="46" spans="1:20" ht="21.6" customHeight="1" x14ac:dyDescent="0.25">
      <c r="A46" s="295"/>
      <c r="B46" s="298"/>
      <c r="C46" s="298"/>
      <c r="D46" s="298"/>
      <c r="E46" s="304"/>
      <c r="F46" s="304"/>
      <c r="G46" s="304"/>
      <c r="H46" s="304"/>
      <c r="I46" s="304"/>
      <c r="J46" s="304"/>
      <c r="K46" s="304"/>
      <c r="L46" s="304"/>
      <c r="M46" s="304"/>
      <c r="N46" s="295"/>
      <c r="O46" s="149"/>
    </row>
    <row r="47" spans="1:20" ht="21.6" customHeight="1" x14ac:dyDescent="0.25">
      <c r="A47" s="18" t="s">
        <v>106</v>
      </c>
      <c r="B47" s="19"/>
      <c r="C47" s="29"/>
      <c r="D47" s="101">
        <f>SUM(D33:D42)</f>
        <v>55808.806000000004</v>
      </c>
      <c r="E47" s="6"/>
      <c r="F47" s="6"/>
      <c r="G47" s="6"/>
      <c r="H47" s="6"/>
      <c r="I47" s="6"/>
      <c r="J47" s="6"/>
      <c r="K47" s="6"/>
      <c r="L47" s="37"/>
      <c r="M47" s="37"/>
      <c r="N47" s="384">
        <f>SUM(N33:N42)</f>
        <v>1494415</v>
      </c>
      <c r="O47" s="3"/>
    </row>
    <row r="48" spans="1:20" ht="21.6" customHeight="1" x14ac:dyDescent="0.25">
      <c r="A48" s="18" t="s">
        <v>7</v>
      </c>
      <c r="B48" s="19"/>
      <c r="C48" s="38"/>
      <c r="D48" s="30">
        <f>D47/D10</f>
        <v>273.57257843137256</v>
      </c>
      <c r="E48" s="39"/>
      <c r="F48" s="39"/>
      <c r="G48" s="39"/>
      <c r="H48" s="39"/>
      <c r="I48" s="39"/>
      <c r="J48" s="39"/>
      <c r="K48" s="39"/>
      <c r="L48" s="37"/>
      <c r="M48" s="37"/>
      <c r="N48" s="385"/>
      <c r="O48" s="3"/>
    </row>
    <row r="49" spans="1:22" ht="21.6" customHeight="1" x14ac:dyDescent="0.25">
      <c r="A49" s="380" t="s">
        <v>52</v>
      </c>
      <c r="B49" s="306"/>
      <c r="C49" s="173" t="s">
        <v>151</v>
      </c>
      <c r="D49" s="17" t="s">
        <v>58</v>
      </c>
      <c r="E49" s="39"/>
      <c r="F49" s="39"/>
      <c r="G49" s="39"/>
      <c r="H49" s="39"/>
      <c r="I49" s="39"/>
      <c r="J49" s="40"/>
      <c r="K49" s="40"/>
      <c r="L49" s="37"/>
      <c r="M49" s="37"/>
      <c r="N49" s="150"/>
      <c r="O49" s="3"/>
    </row>
    <row r="50" spans="1:22" ht="21.6" customHeight="1" x14ac:dyDescent="0.25">
      <c r="A50" s="307"/>
      <c r="B50" s="308"/>
      <c r="C50" s="62" t="s">
        <v>60</v>
      </c>
      <c r="D50" s="17">
        <f>D48*100/1320</f>
        <v>20.725195335710044</v>
      </c>
      <c r="E50" s="39"/>
      <c r="F50" s="39"/>
      <c r="G50" s="39"/>
      <c r="H50" s="39"/>
      <c r="I50" s="39"/>
      <c r="J50" s="40"/>
      <c r="K50" s="40"/>
      <c r="L50" s="37"/>
      <c r="M50" s="37"/>
      <c r="N50" s="150"/>
      <c r="O50" s="3"/>
    </row>
    <row r="51" spans="1:22" ht="21.6" customHeight="1" x14ac:dyDescent="0.25">
      <c r="A51" s="371" t="s">
        <v>113</v>
      </c>
      <c r="B51" s="372"/>
      <c r="C51" s="375"/>
      <c r="D51" s="390">
        <f>D28+D47</f>
        <v>145676.91650000002</v>
      </c>
      <c r="E51" s="103">
        <f t="shared" ref="E51:K51" si="4">SUM(E16:E42)</f>
        <v>2920.3196000000003</v>
      </c>
      <c r="F51" s="103">
        <f t="shared" si="4"/>
        <v>2782.9646500000003</v>
      </c>
      <c r="G51" s="103">
        <f t="shared" si="4"/>
        <v>3090.4019999999996</v>
      </c>
      <c r="H51" s="103">
        <f t="shared" si="4"/>
        <v>1293.23515</v>
      </c>
      <c r="I51" s="334">
        <f t="shared" si="4"/>
        <v>20190.120949999997</v>
      </c>
      <c r="J51" s="367">
        <f t="shared" si="4"/>
        <v>38102.202000000005</v>
      </c>
      <c r="K51" s="367">
        <f t="shared" si="4"/>
        <v>80.459610000000012</v>
      </c>
      <c r="L51" s="367"/>
      <c r="M51" s="367"/>
      <c r="N51" s="340">
        <f>N28+N47</f>
        <v>4487305</v>
      </c>
    </row>
    <row r="52" spans="1:22" ht="21.6" customHeight="1" x14ac:dyDescent="0.25">
      <c r="A52" s="373"/>
      <c r="B52" s="374"/>
      <c r="C52" s="376"/>
      <c r="D52" s="391"/>
      <c r="E52" s="365">
        <f>E51+F51</f>
        <v>5703.2842500000006</v>
      </c>
      <c r="F52" s="366"/>
      <c r="G52" s="365">
        <f>G51+H51</f>
        <v>4383.6371499999996</v>
      </c>
      <c r="H52" s="366"/>
      <c r="I52" s="336"/>
      <c r="J52" s="368"/>
      <c r="K52" s="368"/>
      <c r="L52" s="392"/>
      <c r="M52" s="392"/>
      <c r="N52" s="341"/>
      <c r="P52" s="119"/>
      <c r="Q52" s="333"/>
      <c r="R52" s="333"/>
      <c r="S52" s="333"/>
      <c r="T52" s="333"/>
      <c r="U52" s="346"/>
      <c r="V52" s="346"/>
    </row>
    <row r="53" spans="1:22" ht="21.6" customHeight="1" x14ac:dyDescent="0.25">
      <c r="A53" s="326" t="s">
        <v>77</v>
      </c>
      <c r="B53" s="327"/>
      <c r="C53" s="328"/>
      <c r="D53" s="113">
        <f>D51/D10</f>
        <v>714.1025318627452</v>
      </c>
      <c r="E53" s="165">
        <f>E51/D10</f>
        <v>14.315292156862746</v>
      </c>
      <c r="F53" s="178">
        <f>F51/D10</f>
        <v>13.641983578431374</v>
      </c>
      <c r="G53" s="165">
        <f>G51/D10</f>
        <v>15.149029411764705</v>
      </c>
      <c r="H53" s="175">
        <f>H51/D10</f>
        <v>6.3393879901960783</v>
      </c>
      <c r="I53" s="344">
        <f>I51/D10</f>
        <v>98.971181127450961</v>
      </c>
      <c r="J53" s="347">
        <f>J51/D10</f>
        <v>186.77550000000002</v>
      </c>
      <c r="K53" s="347">
        <f>K51/D10</f>
        <v>0.39440985294117653</v>
      </c>
      <c r="L53" s="392"/>
      <c r="M53" s="392"/>
      <c r="N53" s="341"/>
      <c r="P53" s="167"/>
      <c r="Q53" s="333"/>
      <c r="R53" s="333"/>
      <c r="S53" s="333"/>
      <c r="T53" s="333"/>
      <c r="U53" s="333"/>
      <c r="V53" s="333"/>
    </row>
    <row r="54" spans="1:22" ht="21.6" customHeight="1" x14ac:dyDescent="0.25">
      <c r="A54" s="329"/>
      <c r="B54" s="330"/>
      <c r="C54" s="331"/>
      <c r="D54" s="107"/>
      <c r="E54" s="369">
        <f>E53+F53</f>
        <v>27.957275735294118</v>
      </c>
      <c r="F54" s="370"/>
      <c r="G54" s="369">
        <f>G53+H53</f>
        <v>21.488417401960781</v>
      </c>
      <c r="H54" s="370"/>
      <c r="I54" s="345"/>
      <c r="J54" s="348"/>
      <c r="K54" s="348"/>
      <c r="L54" s="392"/>
      <c r="M54" s="392"/>
      <c r="N54" s="341"/>
      <c r="P54" s="119"/>
      <c r="Q54" s="119"/>
      <c r="R54" s="119"/>
      <c r="S54" s="119"/>
      <c r="T54" s="119"/>
      <c r="U54" s="119"/>
      <c r="V54" s="119"/>
    </row>
    <row r="55" spans="1:22" ht="21.6" customHeight="1" x14ac:dyDescent="0.25">
      <c r="A55" s="381" t="s">
        <v>80</v>
      </c>
      <c r="B55" s="382"/>
      <c r="C55" s="383"/>
      <c r="D55" s="151" t="s">
        <v>28</v>
      </c>
      <c r="E55" s="279" t="s">
        <v>21</v>
      </c>
      <c r="F55" s="279"/>
      <c r="G55" s="279" t="s">
        <v>22</v>
      </c>
      <c r="H55" s="279"/>
      <c r="I55" s="151" t="s">
        <v>23</v>
      </c>
      <c r="J55" s="148">
        <v>600</v>
      </c>
      <c r="K55" s="148">
        <v>0.7</v>
      </c>
      <c r="L55" s="392"/>
      <c r="M55" s="392"/>
      <c r="N55" s="341"/>
      <c r="O55" s="169"/>
      <c r="P55" s="119"/>
      <c r="Q55" s="119"/>
      <c r="R55" s="119"/>
      <c r="S55" s="119"/>
      <c r="T55" s="119"/>
      <c r="U55" s="119"/>
      <c r="V55" s="119"/>
    </row>
    <row r="56" spans="1:22" ht="21.6" customHeight="1" x14ac:dyDescent="0.25">
      <c r="A56" s="271" t="s">
        <v>78</v>
      </c>
      <c r="B56" s="332"/>
      <c r="C56" s="272"/>
      <c r="D56" s="41"/>
      <c r="E56" s="359">
        <f>E54*4.1</f>
        <v>114.62483051470588</v>
      </c>
      <c r="F56" s="360"/>
      <c r="G56" s="359">
        <f>G54*9</f>
        <v>193.39575661764704</v>
      </c>
      <c r="H56" s="360"/>
      <c r="I56" s="69">
        <f>I53*4.1</f>
        <v>405.78184262254888</v>
      </c>
      <c r="J56" s="337"/>
      <c r="K56" s="337"/>
      <c r="L56" s="392"/>
      <c r="M56" s="392"/>
      <c r="N56" s="341"/>
      <c r="O56" s="169"/>
      <c r="P56" s="170"/>
      <c r="Q56" s="155"/>
      <c r="R56" s="155"/>
      <c r="S56" s="155"/>
      <c r="T56" s="155"/>
      <c r="U56" s="119"/>
      <c r="V56" s="119"/>
    </row>
    <row r="57" spans="1:22" ht="21.6" customHeight="1" x14ac:dyDescent="0.25">
      <c r="A57" s="361" t="s">
        <v>81</v>
      </c>
      <c r="B57" s="362"/>
      <c r="C57" s="271" t="s">
        <v>59</v>
      </c>
      <c r="D57" s="272"/>
      <c r="E57" s="386">
        <f>E56*100/D53</f>
        <v>16.051592789582415</v>
      </c>
      <c r="F57" s="387"/>
      <c r="G57" s="386">
        <f>G56*100/D53</f>
        <v>27.082351341504395</v>
      </c>
      <c r="H57" s="387"/>
      <c r="I57" s="96">
        <f>I56*100/D53</f>
        <v>56.824030796258619</v>
      </c>
      <c r="J57" s="338"/>
      <c r="K57" s="338"/>
      <c r="L57" s="392"/>
      <c r="M57" s="392"/>
      <c r="N57" s="341"/>
      <c r="O57" s="169"/>
      <c r="P57" s="119"/>
      <c r="Q57" s="119"/>
      <c r="R57" s="119"/>
      <c r="S57" s="119"/>
      <c r="T57" s="119"/>
      <c r="U57" s="119"/>
      <c r="V57" s="119"/>
    </row>
    <row r="58" spans="1:22" ht="18" customHeight="1" x14ac:dyDescent="0.25">
      <c r="A58" s="363"/>
      <c r="B58" s="364"/>
      <c r="C58" s="271" t="s">
        <v>79</v>
      </c>
      <c r="D58" s="272"/>
      <c r="E58" s="271" t="s">
        <v>82</v>
      </c>
      <c r="F58" s="272"/>
      <c r="G58" s="271" t="s">
        <v>83</v>
      </c>
      <c r="H58" s="272"/>
      <c r="I58" s="151" t="s">
        <v>84</v>
      </c>
      <c r="J58" s="339"/>
      <c r="K58" s="339"/>
      <c r="L58" s="368"/>
      <c r="M58" s="368"/>
      <c r="N58" s="342"/>
      <c r="O58" s="169"/>
    </row>
    <row r="59" spans="1:22" ht="21" customHeight="1" x14ac:dyDescent="0.25">
      <c r="A59" s="73"/>
      <c r="B59" s="76"/>
      <c r="C59" s="73"/>
      <c r="D59" s="73"/>
      <c r="E59" s="73"/>
      <c r="F59" s="73"/>
      <c r="G59" s="73"/>
      <c r="H59" s="73"/>
      <c r="I59" s="73"/>
      <c r="J59" s="73"/>
      <c r="K59" s="73"/>
      <c r="L59" s="74"/>
      <c r="M59" s="74"/>
      <c r="N59" s="75"/>
      <c r="O59" s="169"/>
      <c r="P59" s="2"/>
    </row>
    <row r="60" spans="1:22" ht="21" customHeight="1" x14ac:dyDescent="0.25">
      <c r="A60" s="265" t="s">
        <v>114</v>
      </c>
      <c r="B60" s="265"/>
      <c r="C60" s="265"/>
      <c r="D60" s="265"/>
      <c r="E60" s="265"/>
      <c r="F60" s="265"/>
      <c r="G60" s="265"/>
      <c r="H60" s="265"/>
      <c r="I60" s="265"/>
      <c r="J60" s="265"/>
      <c r="K60" s="265"/>
      <c r="L60" s="265"/>
      <c r="M60" s="265"/>
      <c r="N60" s="265"/>
      <c r="O60" s="169"/>
    </row>
    <row r="61" spans="1:22" ht="21" customHeight="1" x14ac:dyDescent="0.25">
      <c r="A61" s="97" t="s">
        <v>115</v>
      </c>
      <c r="B61" s="266" t="s">
        <v>116</v>
      </c>
      <c r="C61" s="266"/>
      <c r="D61" s="266"/>
      <c r="E61" s="266"/>
      <c r="F61" s="266"/>
      <c r="G61" s="266"/>
      <c r="H61" s="266"/>
      <c r="I61" s="266"/>
      <c r="J61" s="266"/>
      <c r="K61" s="266"/>
      <c r="L61" s="266"/>
      <c r="M61" s="266"/>
      <c r="N61" s="266"/>
      <c r="O61" s="169"/>
    </row>
    <row r="62" spans="1:22" ht="21" customHeight="1" x14ac:dyDescent="0.25">
      <c r="A62" s="98"/>
      <c r="B62" s="267" t="s">
        <v>227</v>
      </c>
      <c r="C62" s="267"/>
      <c r="D62" s="267"/>
      <c r="E62" s="267"/>
      <c r="F62" s="267"/>
      <c r="G62" s="267"/>
      <c r="H62" s="267"/>
      <c r="I62" s="267"/>
      <c r="J62" s="267"/>
      <c r="K62" s="267"/>
      <c r="L62" s="267"/>
      <c r="M62" s="267"/>
      <c r="N62" s="267"/>
      <c r="O62" s="169"/>
    </row>
    <row r="63" spans="1:22" ht="21" customHeight="1" x14ac:dyDescent="0.25">
      <c r="A63" s="98"/>
      <c r="B63" s="267" t="s">
        <v>201</v>
      </c>
      <c r="C63" s="267"/>
      <c r="D63" s="267"/>
      <c r="E63" s="267"/>
      <c r="F63" s="267"/>
      <c r="G63" s="267"/>
      <c r="H63" s="267"/>
      <c r="I63" s="267"/>
      <c r="J63" s="267"/>
      <c r="K63" s="267"/>
      <c r="L63" s="267"/>
      <c r="M63" s="267"/>
      <c r="N63" s="267"/>
      <c r="O63" s="169"/>
    </row>
    <row r="64" spans="1:22" ht="21" customHeight="1" x14ac:dyDescent="0.25">
      <c r="A64" s="98"/>
      <c r="B64" s="267" t="s">
        <v>193</v>
      </c>
      <c r="C64" s="267"/>
      <c r="D64" s="267"/>
      <c r="E64" s="267"/>
      <c r="F64" s="267"/>
      <c r="G64" s="267"/>
      <c r="H64" s="267"/>
      <c r="I64" s="267"/>
      <c r="J64" s="267"/>
      <c r="K64" s="267"/>
      <c r="L64" s="267"/>
      <c r="M64" s="267"/>
      <c r="N64" s="267"/>
      <c r="O64" s="169"/>
    </row>
    <row r="65" spans="1:15" ht="21" customHeight="1" x14ac:dyDescent="0.25">
      <c r="A65" s="73"/>
      <c r="B65" s="268" t="s">
        <v>117</v>
      </c>
      <c r="C65" s="268"/>
      <c r="D65" s="268"/>
      <c r="E65" s="268"/>
      <c r="F65" s="268"/>
      <c r="G65" s="268"/>
      <c r="H65" s="268"/>
      <c r="I65" s="268"/>
      <c r="J65" s="268"/>
      <c r="K65" s="268"/>
      <c r="L65" s="268"/>
      <c r="M65" s="268"/>
      <c r="N65" s="268"/>
      <c r="O65" s="169"/>
    </row>
    <row r="66" spans="1:15" ht="21" customHeight="1" x14ac:dyDescent="0.25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7"/>
      <c r="M66" s="77"/>
      <c r="N66" s="78"/>
      <c r="O66" s="169"/>
    </row>
    <row r="67" spans="1:15" ht="22.15" customHeight="1" x14ac:dyDescent="0.25">
      <c r="A67" s="269" t="s">
        <v>62</v>
      </c>
      <c r="B67" s="269"/>
      <c r="C67" s="269"/>
      <c r="D67" s="269"/>
      <c r="E67" s="171"/>
      <c r="F67" s="171"/>
      <c r="G67" s="171"/>
      <c r="H67" s="171"/>
      <c r="I67" s="171"/>
      <c r="J67" s="270" t="s">
        <v>33</v>
      </c>
      <c r="K67" s="270"/>
      <c r="L67" s="270"/>
      <c r="M67" s="270"/>
      <c r="N67" s="270"/>
      <c r="O67" s="169"/>
    </row>
    <row r="68" spans="1:15" ht="22.15" customHeight="1" x14ac:dyDescent="0.25">
      <c r="A68" s="149"/>
      <c r="B68" s="149"/>
      <c r="C68" s="149"/>
      <c r="D68" s="171"/>
      <c r="E68" s="171"/>
      <c r="F68" s="171"/>
      <c r="G68" s="171"/>
      <c r="H68" s="172"/>
      <c r="I68" s="172"/>
      <c r="J68" s="172"/>
      <c r="K68" s="172"/>
      <c r="L68" s="172"/>
      <c r="M68" s="172"/>
      <c r="N68" s="172"/>
      <c r="O68" s="169"/>
    </row>
    <row r="69" spans="1:15" ht="22.15" customHeight="1" x14ac:dyDescent="0.25">
      <c r="A69" s="149"/>
      <c r="B69" s="149"/>
      <c r="C69" s="149"/>
      <c r="D69" s="171"/>
      <c r="E69" s="171"/>
      <c r="F69" s="171"/>
      <c r="G69" s="171"/>
      <c r="H69" s="172"/>
      <c r="I69" s="172"/>
      <c r="J69" s="172"/>
      <c r="K69" s="172"/>
      <c r="L69" s="172"/>
      <c r="M69" s="172"/>
      <c r="N69" s="172"/>
      <c r="O69" s="169"/>
    </row>
    <row r="70" spans="1:15" ht="22.15" customHeight="1" x14ac:dyDescent="0.25">
      <c r="A70" s="149"/>
      <c r="B70" s="149"/>
      <c r="C70" s="149"/>
      <c r="D70" s="171"/>
      <c r="E70" s="171"/>
      <c r="F70" s="171"/>
      <c r="G70" s="171"/>
      <c r="H70" s="172"/>
      <c r="I70" s="172"/>
      <c r="J70" s="261" t="s">
        <v>124</v>
      </c>
      <c r="K70" s="261"/>
      <c r="L70" s="261"/>
      <c r="M70" s="261"/>
      <c r="N70" s="261"/>
      <c r="O70" s="169"/>
    </row>
    <row r="71" spans="1:15" ht="22.15" customHeight="1" x14ac:dyDescent="0.25">
      <c r="A71" s="260" t="s">
        <v>91</v>
      </c>
      <c r="B71" s="260"/>
      <c r="C71" s="260"/>
      <c r="D71" s="260"/>
      <c r="E71" s="171"/>
      <c r="F71" s="171"/>
      <c r="G71" s="171"/>
      <c r="H71" s="172"/>
      <c r="I71" s="172"/>
      <c r="J71" s="261"/>
      <c r="K71" s="261"/>
      <c r="L71" s="261"/>
      <c r="M71" s="261"/>
      <c r="N71" s="261"/>
      <c r="O71" s="169"/>
    </row>
    <row r="72" spans="1:15" ht="22.15" customHeight="1" x14ac:dyDescent="0.25">
      <c r="A72" s="149"/>
      <c r="B72" s="149"/>
      <c r="C72" s="149"/>
      <c r="D72" s="171"/>
      <c r="E72" s="171"/>
      <c r="F72" s="171"/>
      <c r="G72" s="171"/>
      <c r="H72" s="172"/>
      <c r="I72" s="172"/>
      <c r="J72" s="172"/>
      <c r="K72" s="172"/>
      <c r="L72" s="172"/>
      <c r="M72" s="172"/>
      <c r="N72" s="172"/>
      <c r="O72" s="169"/>
    </row>
    <row r="73" spans="1:15" ht="18" customHeight="1" x14ac:dyDescent="0.25">
      <c r="A73" s="149"/>
      <c r="B73" s="149"/>
      <c r="C73" s="149"/>
      <c r="D73" s="171"/>
      <c r="E73" s="171"/>
      <c r="F73" s="171"/>
      <c r="G73" s="171"/>
      <c r="H73" s="172"/>
      <c r="I73" s="172"/>
      <c r="J73" s="261" t="s">
        <v>127</v>
      </c>
      <c r="K73" s="261"/>
      <c r="L73" s="261"/>
      <c r="M73" s="261"/>
      <c r="N73" s="261"/>
      <c r="O73" s="169"/>
    </row>
    <row r="74" spans="1:15" ht="18" customHeight="1" x14ac:dyDescent="0.25">
      <c r="A74" s="149"/>
      <c r="B74" s="149"/>
      <c r="C74" s="149"/>
      <c r="D74" s="171"/>
      <c r="E74" s="171"/>
      <c r="F74" s="171"/>
      <c r="G74" s="171"/>
      <c r="H74" s="172"/>
      <c r="I74" s="172"/>
      <c r="J74" s="261"/>
      <c r="K74" s="261"/>
      <c r="L74" s="261"/>
      <c r="M74" s="261"/>
      <c r="N74" s="261"/>
      <c r="O74" s="169"/>
    </row>
    <row r="75" spans="1:15" ht="18" customHeight="1" x14ac:dyDescent="0.25">
      <c r="A75" s="149"/>
      <c r="B75" s="149"/>
      <c r="C75" s="149"/>
      <c r="D75" s="171"/>
      <c r="E75" s="171"/>
      <c r="F75" s="171"/>
      <c r="G75" s="171"/>
      <c r="H75" s="172"/>
      <c r="I75" s="172"/>
      <c r="J75" s="172"/>
      <c r="K75" s="172"/>
      <c r="L75" s="172"/>
      <c r="M75" s="172"/>
      <c r="N75" s="172"/>
      <c r="O75" s="169"/>
    </row>
    <row r="76" spans="1:15" ht="18" customHeight="1" x14ac:dyDescent="0.25">
      <c r="A76" s="149"/>
      <c r="B76" s="149"/>
      <c r="C76" s="149"/>
      <c r="D76" s="171"/>
      <c r="E76" s="171"/>
      <c r="F76" s="171"/>
      <c r="G76" s="171"/>
      <c r="H76" s="172"/>
      <c r="I76" s="172"/>
      <c r="J76" s="172"/>
      <c r="K76" s="172"/>
      <c r="L76" s="172"/>
      <c r="M76" s="172"/>
      <c r="N76" s="172"/>
      <c r="O76" s="169"/>
    </row>
    <row r="77" spans="1:15" ht="18" customHeight="1" x14ac:dyDescent="0.25">
      <c r="A77" s="149"/>
      <c r="B77" s="149"/>
      <c r="C77" s="149"/>
      <c r="D77" s="171"/>
      <c r="E77" s="171"/>
      <c r="F77" s="171"/>
      <c r="G77" s="171"/>
      <c r="H77" s="172"/>
      <c r="I77" s="172"/>
      <c r="J77" s="172"/>
      <c r="K77" s="172"/>
      <c r="L77" s="172"/>
      <c r="M77" s="172"/>
      <c r="N77" s="172"/>
      <c r="O77" s="169"/>
    </row>
    <row r="78" spans="1:15" ht="18" customHeight="1" x14ac:dyDescent="0.25">
      <c r="A78" s="149"/>
      <c r="B78" s="149"/>
      <c r="C78" s="149"/>
      <c r="D78" s="171"/>
      <c r="E78" s="171"/>
      <c r="F78" s="171"/>
      <c r="G78" s="171"/>
      <c r="H78" s="172"/>
      <c r="I78" s="172"/>
      <c r="J78" s="172"/>
      <c r="K78" s="172"/>
      <c r="L78" s="172"/>
      <c r="M78" s="172"/>
      <c r="N78" s="172"/>
      <c r="O78" s="169"/>
    </row>
    <row r="79" spans="1:15" ht="18" customHeight="1" x14ac:dyDescent="0.25">
      <c r="A79" s="149"/>
      <c r="B79" s="149"/>
      <c r="C79" s="149"/>
      <c r="D79" s="171"/>
      <c r="E79" s="171"/>
      <c r="F79" s="171"/>
      <c r="G79" s="171"/>
      <c r="H79" s="172"/>
      <c r="I79" s="172"/>
      <c r="J79" s="172"/>
      <c r="K79" s="172"/>
      <c r="L79" s="172"/>
      <c r="M79" s="172"/>
      <c r="N79" s="172"/>
      <c r="O79" s="169"/>
    </row>
    <row r="80" spans="1:15" ht="18" customHeight="1" x14ac:dyDescent="0.25">
      <c r="A80" s="149"/>
      <c r="B80" s="149"/>
      <c r="C80" s="149"/>
      <c r="D80" s="171"/>
      <c r="E80" s="171"/>
      <c r="F80" s="171"/>
      <c r="G80" s="171"/>
      <c r="H80" s="172"/>
      <c r="I80" s="172"/>
      <c r="J80" s="172"/>
      <c r="K80" s="172"/>
      <c r="L80" s="172"/>
      <c r="M80" s="172"/>
      <c r="N80" s="172"/>
      <c r="O80" s="169"/>
    </row>
    <row r="81" spans="1:16" ht="18" customHeight="1" x14ac:dyDescent="0.25">
      <c r="A81" s="149"/>
      <c r="B81" s="149"/>
      <c r="C81" s="149"/>
      <c r="D81" s="171"/>
      <c r="E81" s="171"/>
      <c r="F81" s="171"/>
      <c r="G81" s="171"/>
      <c r="H81" s="172"/>
      <c r="I81" s="172"/>
      <c r="J81" s="172"/>
      <c r="K81" s="172"/>
      <c r="L81" s="172"/>
      <c r="M81" s="172"/>
      <c r="N81" s="172"/>
      <c r="O81" s="169"/>
    </row>
    <row r="82" spans="1:16" ht="19.149999999999999" customHeight="1" x14ac:dyDescent="0.25">
      <c r="A82" s="149"/>
      <c r="B82" s="149"/>
      <c r="C82" s="149"/>
      <c r="D82" s="171"/>
      <c r="E82" s="171"/>
      <c r="F82" s="171"/>
      <c r="G82" s="171"/>
      <c r="H82" s="172"/>
      <c r="I82" s="172"/>
      <c r="J82" s="172"/>
      <c r="K82" s="172"/>
      <c r="L82" s="172"/>
      <c r="M82" s="172"/>
      <c r="N82" s="172"/>
      <c r="O82" s="169"/>
    </row>
    <row r="83" spans="1:16" ht="19.149999999999999" customHeight="1" x14ac:dyDescent="0.3">
      <c r="A83" s="10" t="s">
        <v>61</v>
      </c>
      <c r="B83" s="7"/>
      <c r="C83" s="7"/>
      <c r="D83" s="7"/>
      <c r="E83" s="7"/>
      <c r="F83" s="378" t="s">
        <v>32</v>
      </c>
      <c r="G83" s="378"/>
      <c r="H83" s="378"/>
      <c r="I83" s="378"/>
      <c r="J83" s="378"/>
      <c r="K83" s="378"/>
      <c r="L83" s="378"/>
      <c r="M83" s="378"/>
      <c r="N83" s="378"/>
      <c r="O83" s="156"/>
      <c r="P83" s="156"/>
    </row>
    <row r="84" spans="1:16" ht="11.45" customHeight="1" x14ac:dyDescent="0.3">
      <c r="A84" s="10"/>
      <c r="B84" s="7"/>
      <c r="C84" s="7"/>
      <c r="D84" s="7"/>
      <c r="E84" s="7"/>
      <c r="F84" s="154"/>
      <c r="G84" s="154"/>
      <c r="H84" s="154"/>
      <c r="I84" s="154"/>
      <c r="J84" s="154"/>
      <c r="K84" s="154"/>
      <c r="L84" s="154"/>
      <c r="M84" s="154"/>
      <c r="N84" s="154"/>
      <c r="O84" s="156"/>
      <c r="P84" s="156"/>
    </row>
    <row r="85" spans="1:16" ht="19.149999999999999" customHeight="1" x14ac:dyDescent="0.3">
      <c r="A85" s="7" t="s">
        <v>202</v>
      </c>
      <c r="B85" s="7"/>
      <c r="C85" s="7"/>
      <c r="D85" s="7"/>
      <c r="E85" s="7"/>
      <c r="F85" s="154"/>
      <c r="G85" s="154"/>
      <c r="H85" s="154"/>
      <c r="I85" s="154"/>
      <c r="J85" s="154"/>
      <c r="K85" s="154"/>
      <c r="L85" s="154"/>
      <c r="M85" s="154"/>
      <c r="N85" s="154"/>
      <c r="O85" s="156"/>
      <c r="P85" s="156"/>
    </row>
    <row r="86" spans="1:16" ht="10.9" customHeight="1" x14ac:dyDescent="0.3">
      <c r="A86" s="7"/>
      <c r="B86" s="7"/>
      <c r="C86" s="7"/>
      <c r="D86" s="7"/>
      <c r="E86" s="7"/>
      <c r="F86" s="154"/>
      <c r="G86" s="154"/>
      <c r="H86" s="154"/>
      <c r="I86" s="154"/>
      <c r="J86" s="154"/>
      <c r="K86" s="154"/>
      <c r="L86" s="154"/>
      <c r="M86" s="154"/>
      <c r="N86" s="154"/>
      <c r="O86" s="156"/>
      <c r="P86" s="156"/>
    </row>
    <row r="87" spans="1:16" ht="19.149999999999999" customHeight="1" x14ac:dyDescent="0.25">
      <c r="A87" s="279" t="s">
        <v>97</v>
      </c>
      <c r="B87" s="279"/>
      <c r="C87" s="279"/>
      <c r="D87" s="279"/>
      <c r="E87" s="279" t="s">
        <v>89</v>
      </c>
      <c r="F87" s="279"/>
      <c r="G87" s="279"/>
      <c r="H87" s="279"/>
      <c r="I87" s="279"/>
      <c r="J87" s="279"/>
      <c r="K87" s="279"/>
      <c r="L87" s="279"/>
      <c r="M87" s="279"/>
      <c r="N87" s="279"/>
      <c r="O87" s="157"/>
    </row>
    <row r="88" spans="1:16" ht="19.149999999999999" customHeight="1" x14ac:dyDescent="0.25">
      <c r="A88" s="279"/>
      <c r="B88" s="279"/>
      <c r="C88" s="279"/>
      <c r="D88" s="279"/>
      <c r="E88" s="279" t="s">
        <v>100</v>
      </c>
      <c r="F88" s="279"/>
      <c r="G88" s="279"/>
      <c r="H88" s="279"/>
      <c r="I88" s="279"/>
      <c r="J88" s="279" t="s">
        <v>101</v>
      </c>
      <c r="K88" s="279"/>
      <c r="L88" s="279"/>
      <c r="M88" s="279"/>
      <c r="N88" s="279"/>
      <c r="O88" s="157"/>
    </row>
    <row r="89" spans="1:16" ht="19.149999999999999" customHeight="1" x14ac:dyDescent="0.25">
      <c r="A89" s="280" t="s">
        <v>90</v>
      </c>
      <c r="B89" s="280"/>
      <c r="C89" s="280"/>
      <c r="D89" s="280"/>
      <c r="E89" s="283" t="s">
        <v>148</v>
      </c>
      <c r="F89" s="283"/>
      <c r="G89" s="283"/>
      <c r="H89" s="283"/>
      <c r="I89" s="283"/>
      <c r="J89" s="280" t="s">
        <v>90</v>
      </c>
      <c r="K89" s="280"/>
      <c r="L89" s="280"/>
      <c r="M89" s="280"/>
      <c r="N89" s="280"/>
      <c r="O89" s="157"/>
    </row>
    <row r="90" spans="1:16" ht="19.149999999999999" customHeight="1" x14ac:dyDescent="0.25">
      <c r="A90" s="281" t="s">
        <v>134</v>
      </c>
      <c r="B90" s="281"/>
      <c r="C90" s="281"/>
      <c r="D90" s="281"/>
      <c r="E90" s="283"/>
      <c r="F90" s="283"/>
      <c r="G90" s="283"/>
      <c r="H90" s="283"/>
      <c r="I90" s="283"/>
      <c r="J90" s="281" t="s">
        <v>150</v>
      </c>
      <c r="K90" s="281"/>
      <c r="L90" s="281"/>
      <c r="M90" s="281"/>
      <c r="N90" s="281"/>
      <c r="O90" s="157"/>
    </row>
    <row r="91" spans="1:16" ht="19.149999999999999" customHeight="1" x14ac:dyDescent="0.25">
      <c r="A91" s="282" t="s">
        <v>167</v>
      </c>
      <c r="B91" s="282"/>
      <c r="C91" s="282"/>
      <c r="D91" s="282"/>
      <c r="E91" s="283"/>
      <c r="F91" s="283"/>
      <c r="G91" s="283"/>
      <c r="H91" s="283"/>
      <c r="I91" s="283"/>
      <c r="J91" s="282" t="s">
        <v>95</v>
      </c>
      <c r="K91" s="282"/>
      <c r="L91" s="282"/>
      <c r="M91" s="282"/>
      <c r="N91" s="282"/>
      <c r="O91" s="157"/>
    </row>
    <row r="92" spans="1:16" ht="19.149999999999999" customHeight="1" x14ac:dyDescent="0.3">
      <c r="A92" s="309" t="s">
        <v>122</v>
      </c>
      <c r="B92" s="310"/>
      <c r="C92" s="311"/>
      <c r="D92" s="108">
        <v>54</v>
      </c>
      <c r="E92" s="7"/>
      <c r="F92" s="154"/>
      <c r="G92" s="154"/>
      <c r="H92" s="154"/>
      <c r="I92" s="154"/>
      <c r="J92" s="154"/>
      <c r="K92" s="154"/>
      <c r="L92" s="154"/>
      <c r="M92" s="154"/>
      <c r="N92" s="154"/>
      <c r="O92" s="156"/>
      <c r="P92" s="156"/>
    </row>
    <row r="93" spans="1:16" ht="19.149999999999999" customHeight="1" x14ac:dyDescent="0.25">
      <c r="A93" s="293" t="s">
        <v>0</v>
      </c>
      <c r="B93" s="296" t="s">
        <v>19</v>
      </c>
      <c r="C93" s="296" t="s">
        <v>8</v>
      </c>
      <c r="D93" s="296" t="s">
        <v>9</v>
      </c>
      <c r="E93" s="299" t="s">
        <v>11</v>
      </c>
      <c r="F93" s="300"/>
      <c r="G93" s="299" t="s">
        <v>13</v>
      </c>
      <c r="H93" s="300"/>
      <c r="I93" s="293" t="s">
        <v>16</v>
      </c>
      <c r="J93" s="293" t="s">
        <v>41</v>
      </c>
      <c r="K93" s="293" t="s">
        <v>42</v>
      </c>
      <c r="L93" s="293" t="s">
        <v>17</v>
      </c>
      <c r="M93" s="293" t="s">
        <v>40</v>
      </c>
      <c r="N93" s="293" t="s">
        <v>18</v>
      </c>
      <c r="O93" s="158"/>
    </row>
    <row r="94" spans="1:16" ht="19.149999999999999" customHeight="1" x14ac:dyDescent="0.25">
      <c r="A94" s="294"/>
      <c r="B94" s="297"/>
      <c r="C94" s="297"/>
      <c r="D94" s="297"/>
      <c r="E94" s="301"/>
      <c r="F94" s="302"/>
      <c r="G94" s="301"/>
      <c r="H94" s="302"/>
      <c r="I94" s="303"/>
      <c r="J94" s="303"/>
      <c r="K94" s="303"/>
      <c r="L94" s="303"/>
      <c r="M94" s="303"/>
      <c r="N94" s="294"/>
      <c r="O94" s="149"/>
    </row>
    <row r="95" spans="1:16" ht="19.149999999999999" customHeight="1" x14ac:dyDescent="0.25">
      <c r="A95" s="294"/>
      <c r="B95" s="297"/>
      <c r="C95" s="297"/>
      <c r="D95" s="297"/>
      <c r="E95" s="293" t="s">
        <v>10</v>
      </c>
      <c r="F95" s="293" t="s">
        <v>12</v>
      </c>
      <c r="G95" s="293" t="s">
        <v>14</v>
      </c>
      <c r="H95" s="293" t="s">
        <v>15</v>
      </c>
      <c r="I95" s="303"/>
      <c r="J95" s="303"/>
      <c r="K95" s="303"/>
      <c r="L95" s="303"/>
      <c r="M95" s="303"/>
      <c r="N95" s="294"/>
      <c r="O95" s="149"/>
    </row>
    <row r="96" spans="1:16" ht="19.149999999999999" customHeight="1" x14ac:dyDescent="0.25">
      <c r="A96" s="295"/>
      <c r="B96" s="298"/>
      <c r="C96" s="298"/>
      <c r="D96" s="298"/>
      <c r="E96" s="304"/>
      <c r="F96" s="304"/>
      <c r="G96" s="304"/>
      <c r="H96" s="304"/>
      <c r="I96" s="304"/>
      <c r="J96" s="304"/>
      <c r="K96" s="304"/>
      <c r="L96" s="304"/>
      <c r="M96" s="304"/>
      <c r="N96" s="295"/>
      <c r="O96" s="149"/>
    </row>
    <row r="97" spans="1:20" ht="18.600000000000001" customHeight="1" x14ac:dyDescent="0.25">
      <c r="A97" s="318" t="s">
        <v>39</v>
      </c>
      <c r="B97" s="319"/>
      <c r="C97" s="319"/>
      <c r="D97" s="319"/>
      <c r="E97" s="319"/>
      <c r="F97" s="319"/>
      <c r="G97" s="319"/>
      <c r="H97" s="319"/>
      <c r="I97" s="319"/>
      <c r="J97" s="319"/>
      <c r="K97" s="319"/>
      <c r="L97" s="319"/>
      <c r="M97" s="319"/>
      <c r="N97" s="320"/>
      <c r="O97" s="149"/>
    </row>
    <row r="98" spans="1:20" ht="18.600000000000001" customHeight="1" x14ac:dyDescent="0.25">
      <c r="A98" s="152">
        <v>1</v>
      </c>
      <c r="B98" s="5" t="s">
        <v>123</v>
      </c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20">
        <v>3400</v>
      </c>
      <c r="O98" s="179"/>
    </row>
    <row r="99" spans="1:20" ht="18.600000000000001" customHeight="1" x14ac:dyDescent="0.25">
      <c r="A99" s="8">
        <v>2</v>
      </c>
      <c r="B99" s="9" t="s">
        <v>2</v>
      </c>
      <c r="C99" s="20">
        <f>L99/100*100</f>
        <v>70</v>
      </c>
      <c r="D99" s="21">
        <f>C99/100*60</f>
        <v>42</v>
      </c>
      <c r="E99" s="22">
        <f>C99/100*15</f>
        <v>10.5</v>
      </c>
      <c r="F99" s="22"/>
      <c r="G99" s="22"/>
      <c r="H99" s="22"/>
      <c r="I99" s="22"/>
      <c r="J99" s="24">
        <f>C99/100*387</f>
        <v>270.89999999999998</v>
      </c>
      <c r="K99" s="24">
        <f>C99/100*0.09</f>
        <v>6.3E-2</v>
      </c>
      <c r="L99" s="116">
        <v>70</v>
      </c>
      <c r="M99" s="61">
        <v>20</v>
      </c>
      <c r="N99" s="20">
        <f>L99*M99</f>
        <v>1400</v>
      </c>
      <c r="O99" s="15"/>
    </row>
    <row r="100" spans="1:20" ht="18.600000000000001" customHeight="1" x14ac:dyDescent="0.25">
      <c r="A100" s="8">
        <v>3</v>
      </c>
      <c r="B100" s="65" t="s">
        <v>141</v>
      </c>
      <c r="C100" s="20">
        <f>L100/100*100</f>
        <v>430</v>
      </c>
      <c r="D100" s="21">
        <f>C100/100*899</f>
        <v>3865.7</v>
      </c>
      <c r="E100" s="22"/>
      <c r="F100" s="22"/>
      <c r="G100" s="22">
        <f>C100/100*100</f>
        <v>430</v>
      </c>
      <c r="H100" s="22"/>
      <c r="I100" s="22"/>
      <c r="J100" s="22"/>
      <c r="K100" s="22"/>
      <c r="L100" s="116">
        <v>430</v>
      </c>
      <c r="M100" s="21">
        <v>68</v>
      </c>
      <c r="N100" s="20">
        <f t="shared" ref="N100:N107" si="5">L100*M100</f>
        <v>29240</v>
      </c>
      <c r="O100" s="160"/>
    </row>
    <row r="101" spans="1:20" ht="18.600000000000001" customHeight="1" x14ac:dyDescent="0.25">
      <c r="A101" s="8">
        <v>4</v>
      </c>
      <c r="B101" s="4" t="s">
        <v>1</v>
      </c>
      <c r="C101" s="20">
        <f>L101/100*100</f>
        <v>2322</v>
      </c>
      <c r="D101" s="21">
        <f>C101/100*366</f>
        <v>8498.52</v>
      </c>
      <c r="E101" s="22"/>
      <c r="F101" s="22">
        <f>C101/100*7.9</f>
        <v>183.43799999999999</v>
      </c>
      <c r="G101" s="22"/>
      <c r="H101" s="22">
        <f>C101/100*1</f>
        <v>23.22</v>
      </c>
      <c r="I101" s="22">
        <f>C101/100*73.5</f>
        <v>1706.6699999999998</v>
      </c>
      <c r="J101" s="24">
        <f>C101/100*30</f>
        <v>696.59999999999991</v>
      </c>
      <c r="K101" s="24">
        <f>C101/100*0.1</f>
        <v>2.3220000000000001</v>
      </c>
      <c r="L101" s="116">
        <v>2322</v>
      </c>
      <c r="M101" s="61">
        <v>18</v>
      </c>
      <c r="N101" s="20">
        <f t="shared" si="5"/>
        <v>41796</v>
      </c>
      <c r="O101" s="15"/>
    </row>
    <row r="102" spans="1:20" ht="18.600000000000001" customHeight="1" x14ac:dyDescent="0.25">
      <c r="A102" s="8">
        <v>5</v>
      </c>
      <c r="B102" s="4" t="s">
        <v>93</v>
      </c>
      <c r="C102" s="20">
        <f>L102/100*81.7</f>
        <v>972.23</v>
      </c>
      <c r="D102" s="21">
        <f>C102/100*27</f>
        <v>262.50210000000004</v>
      </c>
      <c r="E102" s="25"/>
      <c r="F102" s="25">
        <f>C102/100*0.3</f>
        <v>2.91669</v>
      </c>
      <c r="G102" s="25"/>
      <c r="H102" s="25">
        <f>C102/100*0.1</f>
        <v>0.97223000000000015</v>
      </c>
      <c r="I102" s="25">
        <f>C102/100*6.1</f>
        <v>59.30603</v>
      </c>
      <c r="J102" s="60">
        <f>C102/100*24</f>
        <v>233.33520000000001</v>
      </c>
      <c r="K102" s="60">
        <f>C102/100*0.06</f>
        <v>0.58333800000000002</v>
      </c>
      <c r="L102" s="161">
        <v>1190</v>
      </c>
      <c r="M102" s="23">
        <v>22</v>
      </c>
      <c r="N102" s="20">
        <f t="shared" si="5"/>
        <v>26180</v>
      </c>
      <c r="O102" s="3"/>
      <c r="Q102" s="2"/>
      <c r="R102" s="2"/>
      <c r="S102" s="3"/>
    </row>
    <row r="103" spans="1:20" ht="18.600000000000001" customHeight="1" x14ac:dyDescent="0.25">
      <c r="A103" s="8">
        <v>6</v>
      </c>
      <c r="B103" s="4" t="s">
        <v>4</v>
      </c>
      <c r="C103" s="20">
        <f>L103/100*98.5</f>
        <v>423.54999999999995</v>
      </c>
      <c r="D103" s="21">
        <f>C103/100*39</f>
        <v>165.18449999999996</v>
      </c>
      <c r="E103" s="25"/>
      <c r="F103" s="25">
        <f>C103/100*1.5</f>
        <v>6.3532499999999992</v>
      </c>
      <c r="G103" s="25"/>
      <c r="H103" s="25">
        <f>C103/100*0.2</f>
        <v>0.84709999999999985</v>
      </c>
      <c r="I103" s="25">
        <f>C103/100*7.8</f>
        <v>33.036899999999996</v>
      </c>
      <c r="J103" s="60">
        <f>C103/100*43</f>
        <v>182.12649999999996</v>
      </c>
      <c r="K103" s="60">
        <f>C103/100*0.06</f>
        <v>0.25412999999999997</v>
      </c>
      <c r="L103" s="161">
        <v>430</v>
      </c>
      <c r="M103" s="23">
        <v>17</v>
      </c>
      <c r="N103" s="20">
        <f t="shared" si="5"/>
        <v>7310</v>
      </c>
      <c r="O103" s="3"/>
      <c r="Q103" s="2"/>
      <c r="R103" s="2"/>
      <c r="S103" s="3"/>
    </row>
    <row r="104" spans="1:20" ht="18.600000000000001" customHeight="1" x14ac:dyDescent="0.25">
      <c r="A104" s="8">
        <v>7</v>
      </c>
      <c r="B104" s="4" t="s">
        <v>136</v>
      </c>
      <c r="C104" s="20">
        <f>L104/100*100</f>
        <v>40</v>
      </c>
      <c r="D104" s="21">
        <f>C104/100*247</f>
        <v>98.800000000000011</v>
      </c>
      <c r="E104" s="25"/>
      <c r="F104" s="25">
        <f>C104/100*17.5</f>
        <v>7</v>
      </c>
      <c r="G104" s="25"/>
      <c r="H104" s="25">
        <f>C104/100*1.6</f>
        <v>0.64000000000000012</v>
      </c>
      <c r="I104" s="25">
        <f>C104/100*39.2</f>
        <v>15.680000000000001</v>
      </c>
      <c r="J104" s="60"/>
      <c r="K104" s="60"/>
      <c r="L104" s="161">
        <v>40</v>
      </c>
      <c r="M104" s="61">
        <v>50</v>
      </c>
      <c r="N104" s="20">
        <f t="shared" si="5"/>
        <v>2000</v>
      </c>
      <c r="O104" s="3"/>
      <c r="Q104" s="2"/>
      <c r="R104" s="2"/>
      <c r="S104" s="3"/>
      <c r="T104" s="2"/>
    </row>
    <row r="105" spans="1:20" ht="18.600000000000001" customHeight="1" x14ac:dyDescent="0.25">
      <c r="A105" s="8">
        <v>8</v>
      </c>
      <c r="B105" s="9" t="s">
        <v>74</v>
      </c>
      <c r="C105" s="20">
        <f>L105/100*98</f>
        <v>431.20000000000005</v>
      </c>
      <c r="D105" s="21">
        <f>C105/100*139</f>
        <v>599.36800000000005</v>
      </c>
      <c r="E105" s="22">
        <f>C105/100*19</f>
        <v>81.928000000000011</v>
      </c>
      <c r="F105" s="22"/>
      <c r="G105" s="22">
        <f>C105/100*7</f>
        <v>30.184000000000001</v>
      </c>
      <c r="H105" s="22"/>
      <c r="I105" s="22"/>
      <c r="J105" s="22">
        <f>C105/100*7</f>
        <v>30.184000000000001</v>
      </c>
      <c r="K105" s="22">
        <f>C105/100*0.9</f>
        <v>3.8808000000000002</v>
      </c>
      <c r="L105" s="116">
        <v>440</v>
      </c>
      <c r="M105" s="61">
        <v>130</v>
      </c>
      <c r="N105" s="20">
        <f t="shared" si="5"/>
        <v>57200</v>
      </c>
      <c r="O105" s="3"/>
    </row>
    <row r="106" spans="1:20" ht="18.600000000000001" customHeight="1" x14ac:dyDescent="0.25">
      <c r="A106" s="8">
        <v>9</v>
      </c>
      <c r="B106" s="65" t="s">
        <v>3</v>
      </c>
      <c r="C106" s="20">
        <f>L106/100*98</f>
        <v>1666</v>
      </c>
      <c r="D106" s="21">
        <f>C106/100*118</f>
        <v>1965.88</v>
      </c>
      <c r="E106" s="22">
        <f>C106/100*21</f>
        <v>349.86</v>
      </c>
      <c r="F106" s="22"/>
      <c r="G106" s="22">
        <f>C106/100*3.8</f>
        <v>63.308</v>
      </c>
      <c r="H106" s="22"/>
      <c r="I106" s="22"/>
      <c r="J106" s="22">
        <f>C106/100*12</f>
        <v>199.92000000000002</v>
      </c>
      <c r="K106" s="22">
        <f>C106/100*0.1</f>
        <v>1.6660000000000001</v>
      </c>
      <c r="L106" s="116">
        <v>1700</v>
      </c>
      <c r="M106" s="61">
        <v>250</v>
      </c>
      <c r="N106" s="20">
        <f t="shared" si="5"/>
        <v>425000</v>
      </c>
      <c r="O106" s="3"/>
    </row>
    <row r="107" spans="1:20" ht="18.600000000000001" customHeight="1" x14ac:dyDescent="0.25">
      <c r="A107" s="8">
        <v>10</v>
      </c>
      <c r="B107" s="4" t="s">
        <v>20</v>
      </c>
      <c r="C107" s="20">
        <f>L107/100*95</f>
        <v>522.5</v>
      </c>
      <c r="D107" s="21">
        <f>C107/100*20</f>
        <v>104.5</v>
      </c>
      <c r="E107" s="22"/>
      <c r="F107" s="22">
        <f>C107/100*0.6</f>
        <v>3.1349999999999998</v>
      </c>
      <c r="G107" s="22"/>
      <c r="H107" s="22">
        <f>C107/100*0.2</f>
        <v>1.0449999999999999</v>
      </c>
      <c r="I107" s="22">
        <f>C107/100*4</f>
        <v>20.9</v>
      </c>
      <c r="J107" s="60">
        <f>C107/100*12</f>
        <v>62.699999999999996</v>
      </c>
      <c r="K107" s="60">
        <f>C107/100*0.04</f>
        <v>0.20899999999999999</v>
      </c>
      <c r="L107" s="26">
        <v>550</v>
      </c>
      <c r="M107" s="61">
        <v>40</v>
      </c>
      <c r="N107" s="20">
        <f t="shared" si="5"/>
        <v>22000</v>
      </c>
      <c r="O107" s="3"/>
      <c r="Q107" s="2"/>
      <c r="R107" s="2"/>
    </row>
    <row r="108" spans="1:20" ht="18.600000000000001" customHeight="1" x14ac:dyDescent="0.25">
      <c r="A108" s="18" t="s">
        <v>118</v>
      </c>
      <c r="B108" s="19"/>
      <c r="C108" s="29"/>
      <c r="D108" s="101">
        <f>SUM(D98:D107)</f>
        <v>15602.454600000001</v>
      </c>
      <c r="E108" s="6"/>
      <c r="F108" s="6"/>
      <c r="G108" s="6"/>
      <c r="H108" s="6"/>
      <c r="I108" s="6"/>
      <c r="J108" s="6"/>
      <c r="K108" s="6"/>
      <c r="L108" s="37"/>
      <c r="M108" s="37"/>
      <c r="N108" s="277">
        <f>SUM(N98:N107)</f>
        <v>615526</v>
      </c>
      <c r="O108" s="3"/>
    </row>
    <row r="109" spans="1:20" ht="18.600000000000001" customHeight="1" x14ac:dyDescent="0.25">
      <c r="A109" s="18" t="s">
        <v>37</v>
      </c>
      <c r="B109" s="19"/>
      <c r="C109" s="38"/>
      <c r="D109" s="39">
        <f>D108/D92</f>
        <v>288.93434444444443</v>
      </c>
      <c r="E109" s="39"/>
      <c r="F109" s="39"/>
      <c r="G109" s="39"/>
      <c r="H109" s="39"/>
      <c r="I109" s="39"/>
      <c r="J109" s="39"/>
      <c r="K109" s="39"/>
      <c r="L109" s="37"/>
      <c r="M109" s="37"/>
      <c r="N109" s="278"/>
      <c r="O109" s="3"/>
    </row>
    <row r="110" spans="1:20" ht="18.600000000000001" customHeight="1" x14ac:dyDescent="0.25">
      <c r="A110" s="380" t="s">
        <v>53</v>
      </c>
      <c r="B110" s="306"/>
      <c r="C110" s="173" t="s">
        <v>151</v>
      </c>
      <c r="D110" s="17" t="s">
        <v>45</v>
      </c>
      <c r="E110" s="39"/>
      <c r="F110" s="39"/>
      <c r="G110" s="39"/>
      <c r="H110" s="39"/>
      <c r="I110" s="39"/>
      <c r="J110" s="40"/>
      <c r="K110" s="40"/>
      <c r="L110" s="37"/>
      <c r="M110" s="37"/>
      <c r="N110" s="150"/>
      <c r="O110" s="3"/>
    </row>
    <row r="111" spans="1:20" ht="18.600000000000001" customHeight="1" x14ac:dyDescent="0.25">
      <c r="A111" s="307"/>
      <c r="B111" s="308"/>
      <c r="C111" s="62" t="s">
        <v>60</v>
      </c>
      <c r="D111" s="64">
        <f>D109*100/930</f>
        <v>31.06820908004779</v>
      </c>
      <c r="E111" s="39"/>
      <c r="F111" s="39"/>
      <c r="G111" s="39"/>
      <c r="H111" s="39"/>
      <c r="I111" s="39"/>
      <c r="J111" s="40"/>
      <c r="K111" s="40"/>
      <c r="L111" s="37"/>
      <c r="M111" s="37"/>
      <c r="N111" s="150"/>
      <c r="O111" s="3"/>
    </row>
    <row r="112" spans="1:20" ht="18.600000000000001" customHeight="1" x14ac:dyDescent="0.3">
      <c r="A112" s="316" t="s">
        <v>38</v>
      </c>
      <c r="B112" s="316"/>
      <c r="C112" s="47"/>
      <c r="D112" s="48"/>
      <c r="E112" s="49"/>
      <c r="F112" s="49"/>
      <c r="G112" s="49"/>
      <c r="H112" s="49"/>
      <c r="I112" s="49"/>
      <c r="J112" s="49"/>
      <c r="K112" s="49"/>
      <c r="L112" s="50"/>
      <c r="M112" s="50"/>
      <c r="N112" s="47"/>
      <c r="O112" s="3"/>
    </row>
    <row r="113" spans="1:20" ht="18.600000000000001" customHeight="1" x14ac:dyDescent="0.25">
      <c r="A113" s="12">
        <v>1</v>
      </c>
      <c r="B113" s="5" t="s">
        <v>123</v>
      </c>
      <c r="C113" s="34"/>
      <c r="D113" s="180"/>
      <c r="E113" s="35"/>
      <c r="F113" s="35"/>
      <c r="G113" s="35"/>
      <c r="H113" s="35"/>
      <c r="I113" s="35"/>
      <c r="J113" s="35"/>
      <c r="K113" s="35"/>
      <c r="L113" s="36"/>
      <c r="M113" s="36"/>
      <c r="N113" s="34">
        <v>3400</v>
      </c>
      <c r="O113" s="3"/>
    </row>
    <row r="114" spans="1:20" ht="18.600000000000001" customHeight="1" x14ac:dyDescent="0.25">
      <c r="A114" s="8">
        <v>2</v>
      </c>
      <c r="B114" s="4" t="s">
        <v>1</v>
      </c>
      <c r="C114" s="20">
        <f>L114/100*100</f>
        <v>2268</v>
      </c>
      <c r="D114" s="21">
        <f>C114/100*366</f>
        <v>8300.8799999999992</v>
      </c>
      <c r="E114" s="22"/>
      <c r="F114" s="22">
        <f>C114/100*7.9</f>
        <v>179.172</v>
      </c>
      <c r="G114" s="22"/>
      <c r="H114" s="22">
        <f>C114/100*1</f>
        <v>22.68</v>
      </c>
      <c r="I114" s="22">
        <f>C114/100*73.5</f>
        <v>1666.98</v>
      </c>
      <c r="J114" s="24">
        <f>C114/100*30</f>
        <v>680.4</v>
      </c>
      <c r="K114" s="24">
        <f>C114/100*0.1</f>
        <v>2.2680000000000002</v>
      </c>
      <c r="L114" s="23">
        <v>2268</v>
      </c>
      <c r="M114" s="61">
        <v>18</v>
      </c>
      <c r="N114" s="114">
        <f>L114*M114</f>
        <v>40824</v>
      </c>
      <c r="O114" s="15"/>
    </row>
    <row r="115" spans="1:20" ht="18.600000000000001" customHeight="1" x14ac:dyDescent="0.25">
      <c r="A115" s="8">
        <v>3</v>
      </c>
      <c r="B115" s="9" t="s">
        <v>2</v>
      </c>
      <c r="C115" s="20">
        <f>L115/100*100</f>
        <v>70</v>
      </c>
      <c r="D115" s="21">
        <f>C115/100*60</f>
        <v>42</v>
      </c>
      <c r="E115" s="22">
        <f>C115/100*15</f>
        <v>10.5</v>
      </c>
      <c r="F115" s="22"/>
      <c r="G115" s="22"/>
      <c r="H115" s="22"/>
      <c r="I115" s="22"/>
      <c r="J115" s="24">
        <f>C115/100*387</f>
        <v>270.89999999999998</v>
      </c>
      <c r="K115" s="24">
        <f>C115/100*0.09</f>
        <v>6.3E-2</v>
      </c>
      <c r="L115" s="23">
        <v>70</v>
      </c>
      <c r="M115" s="61">
        <v>20</v>
      </c>
      <c r="N115" s="114">
        <f t="shared" ref="N115:N121" si="6">L115*M115</f>
        <v>1400</v>
      </c>
      <c r="O115" s="15"/>
    </row>
    <row r="116" spans="1:20" ht="18.600000000000001" customHeight="1" x14ac:dyDescent="0.25">
      <c r="A116" s="8">
        <v>4</v>
      </c>
      <c r="B116" s="65" t="s">
        <v>141</v>
      </c>
      <c r="C116" s="20">
        <f>L116/100*100</f>
        <v>110.00000000000001</v>
      </c>
      <c r="D116" s="21">
        <f>C116/100*900</f>
        <v>990.00000000000011</v>
      </c>
      <c r="E116" s="22"/>
      <c r="F116" s="22"/>
      <c r="G116" s="22">
        <f>C116/100*100</f>
        <v>110.00000000000001</v>
      </c>
      <c r="H116" s="22">
        <f>C116/100*100</f>
        <v>110.00000000000001</v>
      </c>
      <c r="I116" s="22"/>
      <c r="J116" s="24"/>
      <c r="K116" s="24"/>
      <c r="L116" s="23">
        <v>110</v>
      </c>
      <c r="M116" s="61">
        <v>68</v>
      </c>
      <c r="N116" s="114">
        <f t="shared" si="6"/>
        <v>7480</v>
      </c>
      <c r="O116" s="3"/>
    </row>
    <row r="117" spans="1:20" ht="18.600000000000001" customHeight="1" x14ac:dyDescent="0.25">
      <c r="A117" s="8">
        <v>5</v>
      </c>
      <c r="B117" s="9" t="s">
        <v>139</v>
      </c>
      <c r="C117" s="20">
        <f>L117/100*100</f>
        <v>270</v>
      </c>
      <c r="D117" s="21">
        <f>C117/100*53</f>
        <v>143.10000000000002</v>
      </c>
      <c r="E117" s="22"/>
      <c r="F117" s="22">
        <f>C117/100*6.3</f>
        <v>17.010000000000002</v>
      </c>
      <c r="G117" s="22"/>
      <c r="H117" s="22">
        <f>C117/100*0.04</f>
        <v>0.10800000000000001</v>
      </c>
      <c r="I117" s="22">
        <f>C117/100*6.8</f>
        <v>18.36</v>
      </c>
      <c r="J117" s="24">
        <f>C117/100*19</f>
        <v>51.300000000000004</v>
      </c>
      <c r="K117" s="24">
        <f>C117/100*0.03</f>
        <v>8.1000000000000003E-2</v>
      </c>
      <c r="L117" s="23">
        <v>270</v>
      </c>
      <c r="M117" s="61">
        <v>42.5</v>
      </c>
      <c r="N117" s="114">
        <f t="shared" si="6"/>
        <v>11475</v>
      </c>
      <c r="O117" s="15"/>
    </row>
    <row r="118" spans="1:20" ht="18.600000000000001" customHeight="1" x14ac:dyDescent="0.25">
      <c r="A118" s="8">
        <v>6</v>
      </c>
      <c r="B118" s="4" t="s">
        <v>75</v>
      </c>
      <c r="C118" s="20">
        <f>L118/100*75</f>
        <v>967.5</v>
      </c>
      <c r="D118" s="21">
        <f>C118/100*12</f>
        <v>116.10000000000001</v>
      </c>
      <c r="E118" s="22">
        <f>C118/100*0.6</f>
        <v>5.8050000000000006</v>
      </c>
      <c r="F118" s="22"/>
      <c r="G118" s="22"/>
      <c r="H118" s="22"/>
      <c r="I118" s="22">
        <f>C118/100*2.4</f>
        <v>23.220000000000002</v>
      </c>
      <c r="J118" s="24">
        <f>C118/100*26</f>
        <v>251.55</v>
      </c>
      <c r="K118" s="24">
        <f>C118/100*0.02</f>
        <v>0.19350000000000001</v>
      </c>
      <c r="L118" s="23">
        <v>1290</v>
      </c>
      <c r="M118" s="23">
        <v>30</v>
      </c>
      <c r="N118" s="114">
        <f t="shared" si="6"/>
        <v>38700</v>
      </c>
      <c r="O118" s="3"/>
    </row>
    <row r="119" spans="1:20" ht="18.600000000000001" customHeight="1" x14ac:dyDescent="0.25">
      <c r="A119" s="8">
        <v>7</v>
      </c>
      <c r="B119" s="4" t="s">
        <v>4</v>
      </c>
      <c r="C119" s="20">
        <f>L119/100*98.5</f>
        <v>423.54999999999995</v>
      </c>
      <c r="D119" s="21">
        <f>C119/100*39</f>
        <v>165.18449999999996</v>
      </c>
      <c r="E119" s="25"/>
      <c r="F119" s="25">
        <f>C119/100*1.5</f>
        <v>6.3532499999999992</v>
      </c>
      <c r="G119" s="181"/>
      <c r="H119" s="25">
        <f>C119/100*0.2</f>
        <v>0.84709999999999985</v>
      </c>
      <c r="I119" s="25">
        <f>C119/100*7.8</f>
        <v>33.036899999999996</v>
      </c>
      <c r="J119" s="60">
        <f>C119/100*43</f>
        <v>182.12649999999996</v>
      </c>
      <c r="K119" s="60">
        <f>C119/100*0.06</f>
        <v>0.25412999999999997</v>
      </c>
      <c r="L119" s="26">
        <v>430</v>
      </c>
      <c r="M119" s="23">
        <v>17</v>
      </c>
      <c r="N119" s="114">
        <f t="shared" si="6"/>
        <v>7310</v>
      </c>
      <c r="O119" s="3"/>
      <c r="Q119" s="2"/>
      <c r="R119" s="2"/>
      <c r="S119" s="3"/>
    </row>
    <row r="120" spans="1:20" ht="18.600000000000001" customHeight="1" x14ac:dyDescent="0.25">
      <c r="A120" s="8">
        <v>8</v>
      </c>
      <c r="B120" s="9" t="s">
        <v>64</v>
      </c>
      <c r="C120" s="20">
        <f>L120/100*40</f>
        <v>1404</v>
      </c>
      <c r="D120" s="21">
        <f>C120/100*276</f>
        <v>3875.04</v>
      </c>
      <c r="E120" s="22">
        <f>C120/100*17.8</f>
        <v>249.91200000000001</v>
      </c>
      <c r="F120" s="115"/>
      <c r="G120" s="22">
        <f>C120/100*21.8</f>
        <v>306.072</v>
      </c>
      <c r="H120" s="22"/>
      <c r="I120" s="22"/>
      <c r="J120" s="24">
        <f>C120/100*13</f>
        <v>182.51999999999998</v>
      </c>
      <c r="K120" s="24">
        <f>C120/100*0.07</f>
        <v>0.98280000000000001</v>
      </c>
      <c r="L120" s="23">
        <v>3510</v>
      </c>
      <c r="M120" s="61">
        <v>63</v>
      </c>
      <c r="N120" s="114">
        <f t="shared" si="6"/>
        <v>221130</v>
      </c>
      <c r="O120" s="3"/>
    </row>
    <row r="121" spans="1:20" ht="18.600000000000001" customHeight="1" x14ac:dyDescent="0.25">
      <c r="A121" s="8">
        <v>9</v>
      </c>
      <c r="B121" s="4" t="s">
        <v>136</v>
      </c>
      <c r="C121" s="20">
        <f>L121/100*100</f>
        <v>40</v>
      </c>
      <c r="D121" s="21">
        <f>C121/100*247</f>
        <v>98.800000000000011</v>
      </c>
      <c r="E121" s="25"/>
      <c r="F121" s="25">
        <f>C121/100*17.5</f>
        <v>7</v>
      </c>
      <c r="G121" s="25"/>
      <c r="H121" s="25">
        <f>C121/100*1.6</f>
        <v>0.64000000000000012</v>
      </c>
      <c r="I121" s="25">
        <f>C121/100*39.2</f>
        <v>15.680000000000001</v>
      </c>
      <c r="J121" s="60"/>
      <c r="K121" s="60"/>
      <c r="L121" s="161">
        <v>40</v>
      </c>
      <c r="M121" s="61">
        <v>50</v>
      </c>
      <c r="N121" s="20">
        <f t="shared" si="6"/>
        <v>2000</v>
      </c>
      <c r="O121" s="3"/>
      <c r="Q121" s="2"/>
      <c r="R121" s="2"/>
      <c r="S121" s="3"/>
      <c r="T121" s="2"/>
    </row>
    <row r="122" spans="1:20" ht="18.600000000000001" customHeight="1" x14ac:dyDescent="0.25">
      <c r="A122" s="18" t="s">
        <v>119</v>
      </c>
      <c r="B122" s="19"/>
      <c r="C122" s="29"/>
      <c r="D122" s="101">
        <f>SUM(D113:D121)</f>
        <v>13731.104499999998</v>
      </c>
      <c r="E122" s="6"/>
      <c r="F122" s="6"/>
      <c r="G122" s="6"/>
      <c r="H122" s="6"/>
      <c r="I122" s="6"/>
      <c r="J122" s="6"/>
      <c r="K122" s="6"/>
      <c r="L122" s="37"/>
      <c r="M122" s="37"/>
      <c r="N122" s="277">
        <f>SUM(N113:N121)</f>
        <v>333719</v>
      </c>
      <c r="O122" s="3"/>
    </row>
    <row r="123" spans="1:20" ht="18.600000000000001" customHeight="1" x14ac:dyDescent="0.25">
      <c r="A123" s="18" t="s">
        <v>36</v>
      </c>
      <c r="B123" s="19"/>
      <c r="C123" s="51"/>
      <c r="D123" s="40">
        <f>D122/D92</f>
        <v>254.27971296296292</v>
      </c>
      <c r="E123" s="40"/>
      <c r="F123" s="40"/>
      <c r="G123" s="40"/>
      <c r="H123" s="40"/>
      <c r="I123" s="40"/>
      <c r="J123" s="40"/>
      <c r="K123" s="40"/>
      <c r="L123" s="52"/>
      <c r="M123" s="37"/>
      <c r="N123" s="315"/>
      <c r="O123" s="3"/>
    </row>
    <row r="124" spans="1:20" ht="18.600000000000001" customHeight="1" x14ac:dyDescent="0.25">
      <c r="A124" s="380" t="s">
        <v>54</v>
      </c>
      <c r="B124" s="306"/>
      <c r="C124" s="173" t="s">
        <v>151</v>
      </c>
      <c r="D124" s="17" t="s">
        <v>46</v>
      </c>
      <c r="E124" s="39"/>
      <c r="F124" s="39"/>
      <c r="G124" s="39"/>
      <c r="H124" s="39"/>
      <c r="I124" s="39"/>
      <c r="J124" s="40"/>
      <c r="K124" s="40"/>
      <c r="L124" s="37"/>
      <c r="M124" s="37"/>
      <c r="N124" s="150"/>
      <c r="O124" s="3"/>
    </row>
    <row r="125" spans="1:20" ht="18.600000000000001" customHeight="1" x14ac:dyDescent="0.25">
      <c r="A125" s="307"/>
      <c r="B125" s="308"/>
      <c r="C125" s="62" t="s">
        <v>60</v>
      </c>
      <c r="D125" s="64">
        <f>D123*100/930</f>
        <v>27.341904619673432</v>
      </c>
      <c r="E125" s="39"/>
      <c r="F125" s="39"/>
      <c r="G125" s="39"/>
      <c r="H125" s="39">
        <v>13</v>
      </c>
      <c r="I125" s="39"/>
      <c r="J125" s="40"/>
      <c r="K125" s="40"/>
      <c r="L125" s="37"/>
      <c r="M125" s="37"/>
      <c r="N125" s="150"/>
      <c r="O125" s="3"/>
    </row>
    <row r="126" spans="1:20" ht="18.600000000000001" customHeight="1" x14ac:dyDescent="0.3">
      <c r="A126" s="316" t="s">
        <v>35</v>
      </c>
      <c r="B126" s="316"/>
      <c r="C126" s="53"/>
      <c r="D126" s="54"/>
      <c r="E126" s="54"/>
      <c r="F126" s="54"/>
      <c r="G126" s="54"/>
      <c r="H126" s="54"/>
      <c r="I126" s="54"/>
      <c r="J126" s="54"/>
      <c r="K126" s="54"/>
      <c r="L126" s="55"/>
      <c r="M126" s="55"/>
      <c r="N126" s="56"/>
      <c r="O126" s="3"/>
      <c r="Q126" s="142"/>
    </row>
    <row r="127" spans="1:20" ht="18.600000000000001" customHeight="1" x14ac:dyDescent="0.25">
      <c r="A127" s="86">
        <v>1</v>
      </c>
      <c r="B127" s="133" t="s">
        <v>149</v>
      </c>
      <c r="C127" s="87">
        <f>L127/100*100</f>
        <v>919.99999999999989</v>
      </c>
      <c r="D127" s="88">
        <f>C127/100*487</f>
        <v>4480.3999999999996</v>
      </c>
      <c r="E127" s="89"/>
      <c r="F127" s="89">
        <f>C127/100*19.5</f>
        <v>179.39999999999998</v>
      </c>
      <c r="G127" s="89"/>
      <c r="H127" s="89">
        <f>C127/100*23.2</f>
        <v>213.43999999999997</v>
      </c>
      <c r="I127" s="89">
        <f>C127/100*46</f>
        <v>423.2</v>
      </c>
      <c r="J127" s="125">
        <f>C127/100*680</f>
        <v>6255.9999999999991</v>
      </c>
      <c r="K127" s="89">
        <f>C127/100*0.55</f>
        <v>5.0599999999999996</v>
      </c>
      <c r="L127" s="90">
        <v>920</v>
      </c>
      <c r="M127" s="134">
        <v>260</v>
      </c>
      <c r="N127" s="87">
        <f t="shared" ref="N127" si="7">L127*M127</f>
        <v>239200</v>
      </c>
      <c r="O127" s="3"/>
      <c r="P127" s="2"/>
    </row>
    <row r="128" spans="1:20" ht="19.149999999999999" customHeight="1" x14ac:dyDescent="0.25">
      <c r="A128" s="293" t="s">
        <v>0</v>
      </c>
      <c r="B128" s="296" t="s">
        <v>19</v>
      </c>
      <c r="C128" s="296" t="s">
        <v>8</v>
      </c>
      <c r="D128" s="296" t="s">
        <v>9</v>
      </c>
      <c r="E128" s="299" t="s">
        <v>11</v>
      </c>
      <c r="F128" s="300"/>
      <c r="G128" s="299" t="s">
        <v>13</v>
      </c>
      <c r="H128" s="300"/>
      <c r="I128" s="293" t="s">
        <v>16</v>
      </c>
      <c r="J128" s="293" t="s">
        <v>41</v>
      </c>
      <c r="K128" s="293" t="s">
        <v>42</v>
      </c>
      <c r="L128" s="293" t="s">
        <v>17</v>
      </c>
      <c r="M128" s="293" t="s">
        <v>40</v>
      </c>
      <c r="N128" s="293" t="s">
        <v>18</v>
      </c>
      <c r="O128" s="158"/>
    </row>
    <row r="129" spans="1:22" ht="19.149999999999999" customHeight="1" x14ac:dyDescent="0.25">
      <c r="A129" s="294"/>
      <c r="B129" s="297"/>
      <c r="C129" s="297"/>
      <c r="D129" s="297"/>
      <c r="E129" s="301"/>
      <c r="F129" s="302"/>
      <c r="G129" s="301"/>
      <c r="H129" s="302"/>
      <c r="I129" s="303"/>
      <c r="J129" s="303"/>
      <c r="K129" s="303"/>
      <c r="L129" s="303"/>
      <c r="M129" s="303"/>
      <c r="N129" s="294"/>
      <c r="O129" s="149"/>
    </row>
    <row r="130" spans="1:22" ht="19.149999999999999" customHeight="1" x14ac:dyDescent="0.25">
      <c r="A130" s="294"/>
      <c r="B130" s="297"/>
      <c r="C130" s="297"/>
      <c r="D130" s="297"/>
      <c r="E130" s="293" t="s">
        <v>10</v>
      </c>
      <c r="F130" s="293" t="s">
        <v>12</v>
      </c>
      <c r="G130" s="293" t="s">
        <v>14</v>
      </c>
      <c r="H130" s="293" t="s">
        <v>15</v>
      </c>
      <c r="I130" s="303"/>
      <c r="J130" s="303"/>
      <c r="K130" s="303"/>
      <c r="L130" s="303"/>
      <c r="M130" s="303"/>
      <c r="N130" s="294"/>
      <c r="O130" s="149"/>
    </row>
    <row r="131" spans="1:22" ht="19.149999999999999" customHeight="1" x14ac:dyDescent="0.25">
      <c r="A131" s="295"/>
      <c r="B131" s="298"/>
      <c r="C131" s="298"/>
      <c r="D131" s="298"/>
      <c r="E131" s="304"/>
      <c r="F131" s="304"/>
      <c r="G131" s="304"/>
      <c r="H131" s="304"/>
      <c r="I131" s="304"/>
      <c r="J131" s="304"/>
      <c r="K131" s="304"/>
      <c r="L131" s="304"/>
      <c r="M131" s="304"/>
      <c r="N131" s="295"/>
      <c r="O131" s="149"/>
    </row>
    <row r="132" spans="1:22" ht="19.149999999999999" customHeight="1" x14ac:dyDescent="0.25">
      <c r="A132" s="18" t="s">
        <v>106</v>
      </c>
      <c r="B132" s="19"/>
      <c r="C132" s="29"/>
      <c r="D132" s="30">
        <f>SUM(D126:D127)</f>
        <v>4480.3999999999996</v>
      </c>
      <c r="E132" s="6"/>
      <c r="F132" s="6"/>
      <c r="G132" s="6"/>
      <c r="H132" s="6"/>
      <c r="I132" s="6"/>
      <c r="J132" s="6"/>
      <c r="K132" s="6"/>
      <c r="L132" s="37"/>
      <c r="M132" s="37"/>
      <c r="N132" s="277">
        <f>SUM(N126:N127)</f>
        <v>239200</v>
      </c>
      <c r="O132" s="3"/>
    </row>
    <row r="133" spans="1:22" ht="19.149999999999999" customHeight="1" x14ac:dyDescent="0.25">
      <c r="A133" s="18" t="s">
        <v>7</v>
      </c>
      <c r="B133" s="19"/>
      <c r="C133" s="38"/>
      <c r="D133" s="39">
        <f>D132/D92</f>
        <v>82.970370370370361</v>
      </c>
      <c r="E133" s="39"/>
      <c r="F133" s="39"/>
      <c r="G133" s="39"/>
      <c r="H133" s="39"/>
      <c r="I133" s="39"/>
      <c r="J133" s="39"/>
      <c r="K133" s="39"/>
      <c r="L133" s="37"/>
      <c r="M133" s="37"/>
      <c r="N133" s="278"/>
      <c r="O133" s="3"/>
    </row>
    <row r="134" spans="1:22" ht="19.149999999999999" customHeight="1" x14ac:dyDescent="0.25">
      <c r="A134" s="380" t="s">
        <v>52</v>
      </c>
      <c r="B134" s="306"/>
      <c r="C134" s="173" t="s">
        <v>151</v>
      </c>
      <c r="D134" s="17" t="s">
        <v>50</v>
      </c>
      <c r="E134" s="39"/>
      <c r="F134" s="39"/>
      <c r="G134" s="39"/>
      <c r="H134" s="39"/>
      <c r="I134" s="39"/>
      <c r="J134" s="40"/>
      <c r="K134" s="40"/>
      <c r="L134" s="37"/>
      <c r="M134" s="37"/>
      <c r="N134" s="150"/>
      <c r="O134" s="3"/>
    </row>
    <row r="135" spans="1:22" ht="19.149999999999999" customHeight="1" x14ac:dyDescent="0.25">
      <c r="A135" s="307"/>
      <c r="B135" s="308"/>
      <c r="C135" s="62" t="s">
        <v>60</v>
      </c>
      <c r="D135" s="17">
        <f>D133*100/930</f>
        <v>8.9215452011150926</v>
      </c>
      <c r="E135" s="39"/>
      <c r="F135" s="39"/>
      <c r="G135" s="39"/>
      <c r="H135" s="39"/>
      <c r="I135" s="39"/>
      <c r="J135" s="40"/>
      <c r="K135" s="40"/>
      <c r="L135" s="37"/>
      <c r="M135" s="37"/>
      <c r="N135" s="150"/>
      <c r="O135" s="3"/>
    </row>
    <row r="136" spans="1:22" ht="19.149999999999999" customHeight="1" x14ac:dyDescent="0.25">
      <c r="A136" s="371" t="s">
        <v>107</v>
      </c>
      <c r="B136" s="372"/>
      <c r="C136" s="375"/>
      <c r="D136" s="393">
        <f>D108+D122+D132</f>
        <v>33813.9591</v>
      </c>
      <c r="E136" s="6">
        <f>SUM(E99:E126)</f>
        <v>708.505</v>
      </c>
      <c r="F136" s="6">
        <f>SUM(F98:F127)</f>
        <v>591.77819</v>
      </c>
      <c r="G136" s="6">
        <f t="shared" ref="G136" si="8">SUM(G99:G126)</f>
        <v>939.56400000000008</v>
      </c>
      <c r="H136" s="6">
        <f>SUM(H98:H127)</f>
        <v>387.43943000000002</v>
      </c>
      <c r="I136" s="367">
        <f>SUM(I98:I127)</f>
        <v>4016.0698299999999</v>
      </c>
      <c r="J136" s="367">
        <f>SUM(J98:J127)</f>
        <v>9550.5622000000003</v>
      </c>
      <c r="K136" s="367">
        <f>SUM(K98:K127)</f>
        <v>17.880697999999999</v>
      </c>
      <c r="L136" s="352"/>
      <c r="M136" s="352"/>
      <c r="N136" s="395">
        <f>N108+N122+N132</f>
        <v>1188445</v>
      </c>
    </row>
    <row r="137" spans="1:22" ht="19.149999999999999" customHeight="1" x14ac:dyDescent="0.25">
      <c r="A137" s="373"/>
      <c r="B137" s="374"/>
      <c r="C137" s="376"/>
      <c r="D137" s="394"/>
      <c r="E137" s="388">
        <f>E136+F136</f>
        <v>1300.2831900000001</v>
      </c>
      <c r="F137" s="389"/>
      <c r="G137" s="388">
        <f>G136+H136</f>
        <v>1327.0034300000002</v>
      </c>
      <c r="H137" s="389"/>
      <c r="I137" s="368"/>
      <c r="J137" s="368"/>
      <c r="K137" s="368"/>
      <c r="L137" s="352"/>
      <c r="M137" s="352"/>
      <c r="N137" s="395"/>
    </row>
    <row r="138" spans="1:22" ht="19.149999999999999" customHeight="1" x14ac:dyDescent="0.25">
      <c r="A138" s="353" t="s">
        <v>77</v>
      </c>
      <c r="B138" s="354"/>
      <c r="C138" s="355"/>
      <c r="D138" s="112">
        <f>D136/D92</f>
        <v>626.18442777777773</v>
      </c>
      <c r="E138" s="174">
        <f>E136/D92</f>
        <v>13.120462962962963</v>
      </c>
      <c r="F138" s="175">
        <f>F136/D92</f>
        <v>10.958855370370371</v>
      </c>
      <c r="G138" s="174">
        <f>G136/D92</f>
        <v>17.399333333333335</v>
      </c>
      <c r="H138" s="175">
        <f>H136/D92</f>
        <v>7.1748042592592594</v>
      </c>
      <c r="I138" s="347">
        <f>I136/D92</f>
        <v>74.371663518518517</v>
      </c>
      <c r="J138" s="347">
        <f>J136/D92</f>
        <v>176.86226296296297</v>
      </c>
      <c r="K138" s="347">
        <f>K136/D92</f>
        <v>0.33112403703703702</v>
      </c>
      <c r="L138" s="352"/>
      <c r="M138" s="352"/>
      <c r="N138" s="395"/>
      <c r="P138" s="119"/>
      <c r="Q138" s="333"/>
      <c r="R138" s="333"/>
      <c r="S138" s="333"/>
      <c r="T138" s="333"/>
      <c r="U138" s="346"/>
      <c r="V138" s="346"/>
    </row>
    <row r="139" spans="1:22" ht="19.149999999999999" customHeight="1" x14ac:dyDescent="0.25">
      <c r="A139" s="356"/>
      <c r="B139" s="357"/>
      <c r="C139" s="358"/>
      <c r="D139" s="107"/>
      <c r="E139" s="369">
        <f>E138+F138</f>
        <v>24.079318333333333</v>
      </c>
      <c r="F139" s="370"/>
      <c r="G139" s="369">
        <f>G138+H138</f>
        <v>24.574137592592592</v>
      </c>
      <c r="H139" s="370"/>
      <c r="I139" s="348"/>
      <c r="J139" s="348"/>
      <c r="K139" s="348"/>
      <c r="L139" s="352"/>
      <c r="M139" s="352"/>
      <c r="N139" s="395"/>
      <c r="P139" s="167"/>
      <c r="Q139" s="333"/>
      <c r="R139" s="333"/>
      <c r="S139" s="396"/>
      <c r="T139" s="396"/>
      <c r="U139" s="333"/>
      <c r="V139" s="333"/>
    </row>
    <row r="140" spans="1:22" ht="19.149999999999999" customHeight="1" x14ac:dyDescent="0.25">
      <c r="A140" s="381" t="s">
        <v>80</v>
      </c>
      <c r="B140" s="382"/>
      <c r="C140" s="383"/>
      <c r="D140" s="151" t="s">
        <v>29</v>
      </c>
      <c r="E140" s="279" t="s">
        <v>24</v>
      </c>
      <c r="F140" s="279"/>
      <c r="G140" s="279" t="s">
        <v>25</v>
      </c>
      <c r="H140" s="279"/>
      <c r="I140" s="151" t="s">
        <v>26</v>
      </c>
      <c r="J140" s="153">
        <v>500</v>
      </c>
      <c r="K140" s="153">
        <v>0.5</v>
      </c>
      <c r="L140" s="352"/>
      <c r="M140" s="352"/>
      <c r="N140" s="395"/>
      <c r="O140" s="169"/>
      <c r="P140" s="119"/>
      <c r="Q140" s="155"/>
      <c r="R140" s="155"/>
      <c r="S140" s="155"/>
      <c r="T140" s="155"/>
      <c r="U140" s="119"/>
      <c r="V140" s="119"/>
    </row>
    <row r="141" spans="1:22" ht="19.149999999999999" customHeight="1" x14ac:dyDescent="0.25">
      <c r="A141" s="271" t="s">
        <v>78</v>
      </c>
      <c r="B141" s="332"/>
      <c r="C141" s="272"/>
      <c r="D141" s="41"/>
      <c r="E141" s="359">
        <f>E139*4.1</f>
        <v>98.725205166666655</v>
      </c>
      <c r="F141" s="360"/>
      <c r="G141" s="359">
        <f>G139*9</f>
        <v>221.16723833333333</v>
      </c>
      <c r="H141" s="360"/>
      <c r="I141" s="69">
        <f>I138*4.1</f>
        <v>304.9238204259259</v>
      </c>
      <c r="J141" s="337"/>
      <c r="K141" s="337"/>
      <c r="L141" s="352"/>
      <c r="M141" s="352"/>
      <c r="N141" s="395"/>
      <c r="O141" s="169"/>
      <c r="P141" s="170"/>
      <c r="Q141" s="119"/>
      <c r="R141" s="119"/>
      <c r="S141" s="119"/>
      <c r="T141" s="119"/>
      <c r="U141" s="119"/>
      <c r="V141" s="119"/>
    </row>
    <row r="142" spans="1:22" ht="19.149999999999999" customHeight="1" x14ac:dyDescent="0.25">
      <c r="A142" s="361" t="s">
        <v>87</v>
      </c>
      <c r="B142" s="362"/>
      <c r="C142" s="271" t="s">
        <v>59</v>
      </c>
      <c r="D142" s="272"/>
      <c r="E142" s="386">
        <f>E141*100/D138</f>
        <v>15.766154632274338</v>
      </c>
      <c r="F142" s="387"/>
      <c r="G142" s="386">
        <f>G141*100/D138</f>
        <v>35.319824084130985</v>
      </c>
      <c r="H142" s="387"/>
      <c r="I142" s="96">
        <f>I141*100/D138</f>
        <v>48.695529128382951</v>
      </c>
      <c r="J142" s="338"/>
      <c r="K142" s="338"/>
      <c r="L142" s="352"/>
      <c r="M142" s="352"/>
      <c r="N142" s="395"/>
      <c r="O142" s="169"/>
    </row>
    <row r="143" spans="1:22" ht="19.149999999999999" customHeight="1" x14ac:dyDescent="0.25">
      <c r="A143" s="363"/>
      <c r="B143" s="364"/>
      <c r="C143" s="271" t="s">
        <v>79</v>
      </c>
      <c r="D143" s="272"/>
      <c r="E143" s="271" t="s">
        <v>82</v>
      </c>
      <c r="F143" s="272"/>
      <c r="G143" s="271" t="s">
        <v>85</v>
      </c>
      <c r="H143" s="272"/>
      <c r="I143" s="151" t="s">
        <v>86</v>
      </c>
      <c r="J143" s="339"/>
      <c r="K143" s="339"/>
      <c r="L143" s="352"/>
      <c r="M143" s="352"/>
      <c r="N143" s="395"/>
      <c r="O143" s="169"/>
      <c r="P143" s="2"/>
    </row>
    <row r="144" spans="1:22" ht="18" customHeight="1" x14ac:dyDescent="0.25">
      <c r="A144" s="73"/>
      <c r="B144" s="76"/>
      <c r="C144" s="73"/>
      <c r="D144" s="73"/>
      <c r="E144" s="73"/>
      <c r="F144" s="73"/>
      <c r="G144" s="73"/>
      <c r="H144" s="73"/>
      <c r="I144" s="73"/>
      <c r="J144" s="73"/>
      <c r="K144" s="73"/>
      <c r="L144" s="74"/>
      <c r="M144" s="74"/>
      <c r="N144" s="75"/>
      <c r="O144" s="169"/>
    </row>
    <row r="145" spans="1:15" ht="21" customHeight="1" x14ac:dyDescent="0.25">
      <c r="A145" s="265" t="s">
        <v>114</v>
      </c>
      <c r="B145" s="265"/>
      <c r="C145" s="265"/>
      <c r="D145" s="265"/>
      <c r="E145" s="265"/>
      <c r="F145" s="265"/>
      <c r="G145" s="265"/>
      <c r="H145" s="265"/>
      <c r="I145" s="265"/>
      <c r="J145" s="265"/>
      <c r="K145" s="265"/>
      <c r="L145" s="265"/>
      <c r="M145" s="265"/>
      <c r="N145" s="265"/>
      <c r="O145" s="169"/>
    </row>
    <row r="146" spans="1:15" ht="21" customHeight="1" x14ac:dyDescent="0.25">
      <c r="A146" s="97" t="s">
        <v>115</v>
      </c>
      <c r="B146" s="266" t="s">
        <v>116</v>
      </c>
      <c r="C146" s="266"/>
      <c r="D146" s="266"/>
      <c r="E146" s="266"/>
      <c r="F146" s="266"/>
      <c r="G146" s="266"/>
      <c r="H146" s="266"/>
      <c r="I146" s="266"/>
      <c r="J146" s="266"/>
      <c r="K146" s="266"/>
      <c r="L146" s="266"/>
      <c r="M146" s="266"/>
      <c r="N146" s="266"/>
      <c r="O146" s="169"/>
    </row>
    <row r="147" spans="1:15" ht="21" customHeight="1" x14ac:dyDescent="0.25">
      <c r="A147" s="98"/>
      <c r="B147" s="267" t="s">
        <v>205</v>
      </c>
      <c r="C147" s="267"/>
      <c r="D147" s="267"/>
      <c r="E147" s="267"/>
      <c r="F147" s="267"/>
      <c r="G147" s="267"/>
      <c r="H147" s="267"/>
      <c r="I147" s="267"/>
      <c r="J147" s="267"/>
      <c r="K147" s="267"/>
      <c r="L147" s="267"/>
      <c r="M147" s="267"/>
      <c r="N147" s="267"/>
      <c r="O147" s="169"/>
    </row>
    <row r="148" spans="1:15" ht="21" customHeight="1" x14ac:dyDescent="0.25">
      <c r="A148" s="98"/>
      <c r="B148" s="267" t="s">
        <v>203</v>
      </c>
      <c r="C148" s="267"/>
      <c r="D148" s="267"/>
      <c r="E148" s="267"/>
      <c r="F148" s="267"/>
      <c r="G148" s="267"/>
      <c r="H148" s="267"/>
      <c r="I148" s="267"/>
      <c r="J148" s="267"/>
      <c r="K148" s="267"/>
      <c r="L148" s="267"/>
      <c r="M148" s="267"/>
      <c r="N148" s="267"/>
      <c r="O148" s="169"/>
    </row>
    <row r="149" spans="1:15" ht="21" customHeight="1" x14ac:dyDescent="0.25">
      <c r="A149" s="98"/>
      <c r="B149" s="267" t="s">
        <v>204</v>
      </c>
      <c r="C149" s="267"/>
      <c r="D149" s="267"/>
      <c r="E149" s="267"/>
      <c r="F149" s="267"/>
      <c r="G149" s="267"/>
      <c r="H149" s="267"/>
      <c r="I149" s="267"/>
      <c r="J149" s="267"/>
      <c r="K149" s="267"/>
      <c r="L149" s="267"/>
      <c r="M149" s="267"/>
      <c r="N149" s="267"/>
      <c r="O149" s="169"/>
    </row>
    <row r="150" spans="1:15" ht="21" customHeight="1" x14ac:dyDescent="0.25">
      <c r="A150" s="73"/>
      <c r="B150" s="268" t="s">
        <v>130</v>
      </c>
      <c r="C150" s="268"/>
      <c r="D150" s="268"/>
      <c r="E150" s="268"/>
      <c r="F150" s="268"/>
      <c r="G150" s="268"/>
      <c r="H150" s="268"/>
      <c r="I150" s="268"/>
      <c r="J150" s="268"/>
      <c r="K150" s="268"/>
      <c r="L150" s="268"/>
      <c r="M150" s="268"/>
      <c r="N150" s="268"/>
      <c r="O150" s="169"/>
    </row>
    <row r="151" spans="1:15" ht="21" customHeight="1" x14ac:dyDescent="0.25">
      <c r="A151" s="73"/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7"/>
      <c r="M151" s="77"/>
      <c r="N151" s="78"/>
      <c r="O151" s="169"/>
    </row>
    <row r="152" spans="1:15" ht="21" customHeight="1" x14ac:dyDescent="0.25">
      <c r="A152" s="269" t="s">
        <v>62</v>
      </c>
      <c r="B152" s="269"/>
      <c r="C152" s="269"/>
      <c r="D152" s="269"/>
      <c r="E152" s="171"/>
      <c r="F152" s="171"/>
      <c r="G152" s="171"/>
      <c r="H152" s="171"/>
      <c r="I152" s="171"/>
      <c r="J152" s="270" t="s">
        <v>33</v>
      </c>
      <c r="K152" s="270"/>
      <c r="L152" s="270"/>
      <c r="M152" s="270"/>
      <c r="N152" s="270"/>
      <c r="O152" s="169"/>
    </row>
    <row r="153" spans="1:15" ht="21" customHeight="1" x14ac:dyDescent="0.25">
      <c r="A153" s="149"/>
      <c r="B153" s="149"/>
      <c r="C153" s="149"/>
      <c r="D153" s="171"/>
      <c r="E153" s="171"/>
      <c r="F153" s="171"/>
      <c r="G153" s="171"/>
      <c r="H153" s="172"/>
      <c r="I153" s="172"/>
      <c r="J153" s="172"/>
      <c r="K153" s="172"/>
      <c r="L153" s="172"/>
      <c r="M153" s="172"/>
      <c r="N153" s="172"/>
      <c r="O153" s="169"/>
    </row>
    <row r="154" spans="1:15" ht="21" customHeight="1" x14ac:dyDescent="0.25">
      <c r="A154" s="149"/>
      <c r="B154" s="149"/>
      <c r="C154" s="149"/>
      <c r="D154" s="171"/>
      <c r="E154" s="171"/>
      <c r="F154" s="171"/>
      <c r="G154" s="171"/>
      <c r="H154" s="172"/>
      <c r="I154" s="172"/>
      <c r="J154" s="172"/>
      <c r="K154" s="172"/>
      <c r="L154" s="172"/>
      <c r="M154" s="172"/>
      <c r="N154" s="172"/>
      <c r="O154" s="169"/>
    </row>
    <row r="155" spans="1:15" ht="21" customHeight="1" x14ac:dyDescent="0.25">
      <c r="A155" s="149"/>
      <c r="B155" s="149"/>
      <c r="C155" s="149"/>
      <c r="D155" s="171"/>
      <c r="E155" s="171"/>
      <c r="F155" s="171"/>
      <c r="G155" s="171"/>
      <c r="H155" s="172"/>
      <c r="I155" s="172"/>
      <c r="J155" s="261" t="s">
        <v>124</v>
      </c>
      <c r="K155" s="261"/>
      <c r="L155" s="261"/>
      <c r="M155" s="261"/>
      <c r="N155" s="261"/>
      <c r="O155" s="169"/>
    </row>
    <row r="156" spans="1:15" ht="21" customHeight="1" x14ac:dyDescent="0.25">
      <c r="A156" s="260" t="s">
        <v>91</v>
      </c>
      <c r="B156" s="260"/>
      <c r="C156" s="260"/>
      <c r="D156" s="260"/>
      <c r="E156" s="171"/>
      <c r="F156" s="171"/>
      <c r="G156" s="171"/>
      <c r="H156" s="172"/>
      <c r="I156" s="172"/>
      <c r="J156" s="261"/>
      <c r="K156" s="261"/>
      <c r="L156" s="261"/>
      <c r="M156" s="261"/>
      <c r="N156" s="261"/>
      <c r="O156" s="169"/>
    </row>
    <row r="157" spans="1:15" ht="21" customHeight="1" x14ac:dyDescent="0.25"/>
    <row r="158" spans="1:15" ht="21" customHeight="1" x14ac:dyDescent="0.25">
      <c r="J158" s="261" t="s">
        <v>127</v>
      </c>
      <c r="K158" s="261"/>
      <c r="L158" s="261"/>
      <c r="M158" s="261"/>
      <c r="N158" s="261"/>
    </row>
  </sheetData>
  <mergeCells count="203">
    <mergeCell ref="A8:D8"/>
    <mergeCell ref="J155:N155"/>
    <mergeCell ref="A156:D156"/>
    <mergeCell ref="J158:N158"/>
    <mergeCell ref="Q138:R138"/>
    <mergeCell ref="S138:T138"/>
    <mergeCell ref="U138:V138"/>
    <mergeCell ref="Q139:R139"/>
    <mergeCell ref="S139:T139"/>
    <mergeCell ref="U139:V139"/>
    <mergeCell ref="A140:C140"/>
    <mergeCell ref="A141:C141"/>
    <mergeCell ref="J141:J143"/>
    <mergeCell ref="K141:K143"/>
    <mergeCell ref="A142:B143"/>
    <mergeCell ref="C142:D142"/>
    <mergeCell ref="E142:F142"/>
    <mergeCell ref="G142:H142"/>
    <mergeCell ref="C143:D143"/>
    <mergeCell ref="E143:F143"/>
    <mergeCell ref="G143:H143"/>
    <mergeCell ref="J156:N156"/>
    <mergeCell ref="B146:N146"/>
    <mergeCell ref="B147:N147"/>
    <mergeCell ref="B148:N148"/>
    <mergeCell ref="N132:N133"/>
    <mergeCell ref="A136:B137"/>
    <mergeCell ref="C136:C137"/>
    <mergeCell ref="D136:D137"/>
    <mergeCell ref="L136:L143"/>
    <mergeCell ref="M136:M143"/>
    <mergeCell ref="N136:N143"/>
    <mergeCell ref="A138:C139"/>
    <mergeCell ref="I138:I139"/>
    <mergeCell ref="J138:J139"/>
    <mergeCell ref="K138:K139"/>
    <mergeCell ref="A134:B135"/>
    <mergeCell ref="A145:N145"/>
    <mergeCell ref="A112:B112"/>
    <mergeCell ref="N122:N123"/>
    <mergeCell ref="A124:B125"/>
    <mergeCell ref="A126:B126"/>
    <mergeCell ref="A128:A131"/>
    <mergeCell ref="B128:B131"/>
    <mergeCell ref="C128:C131"/>
    <mergeCell ref="D128:D131"/>
    <mergeCell ref="E128:F129"/>
    <mergeCell ref="G128:H129"/>
    <mergeCell ref="I128:I131"/>
    <mergeCell ref="J128:J131"/>
    <mergeCell ref="K128:K131"/>
    <mergeCell ref="L128:L131"/>
    <mergeCell ref="M128:M131"/>
    <mergeCell ref="N128:N131"/>
    <mergeCell ref="E130:E131"/>
    <mergeCell ref="F130:F131"/>
    <mergeCell ref="G130:G131"/>
    <mergeCell ref="H130:H131"/>
    <mergeCell ref="F83:N83"/>
    <mergeCell ref="A87:D88"/>
    <mergeCell ref="E87:N87"/>
    <mergeCell ref="E88:I88"/>
    <mergeCell ref="E89:I91"/>
    <mergeCell ref="A90:D90"/>
    <mergeCell ref="J90:N90"/>
    <mergeCell ref="A91:D91"/>
    <mergeCell ref="J91:N91"/>
    <mergeCell ref="A89:D89"/>
    <mergeCell ref="Q53:R53"/>
    <mergeCell ref="S53:T53"/>
    <mergeCell ref="U53:V53"/>
    <mergeCell ref="A56:C56"/>
    <mergeCell ref="J56:J58"/>
    <mergeCell ref="K56:K58"/>
    <mergeCell ref="A57:B58"/>
    <mergeCell ref="C58:D58"/>
    <mergeCell ref="E58:F58"/>
    <mergeCell ref="G58:H58"/>
    <mergeCell ref="A51:B52"/>
    <mergeCell ref="C51:C52"/>
    <mergeCell ref="D51:D52"/>
    <mergeCell ref="I51:I52"/>
    <mergeCell ref="J51:J52"/>
    <mergeCell ref="K51:K52"/>
    <mergeCell ref="L51:L58"/>
    <mergeCell ref="M51:M58"/>
    <mergeCell ref="N51:N58"/>
    <mergeCell ref="E52:F52"/>
    <mergeCell ref="G52:H52"/>
    <mergeCell ref="A53:C54"/>
    <mergeCell ref="I53:I54"/>
    <mergeCell ref="J53:J54"/>
    <mergeCell ref="K53:K54"/>
    <mergeCell ref="C57:D57"/>
    <mergeCell ref="L43:L46"/>
    <mergeCell ref="M43:M46"/>
    <mergeCell ref="N43:N46"/>
    <mergeCell ref="E45:E46"/>
    <mergeCell ref="F45:F46"/>
    <mergeCell ref="G45:G46"/>
    <mergeCell ref="H45:H46"/>
    <mergeCell ref="N47:N48"/>
    <mergeCell ref="A49:B50"/>
    <mergeCell ref="D11:D14"/>
    <mergeCell ref="E11:F12"/>
    <mergeCell ref="G11:H12"/>
    <mergeCell ref="I11:I14"/>
    <mergeCell ref="J11:J14"/>
    <mergeCell ref="K11:K14"/>
    <mergeCell ref="A30:B31"/>
    <mergeCell ref="A32:B32"/>
    <mergeCell ref="A43:A46"/>
    <mergeCell ref="B43:B46"/>
    <mergeCell ref="C43:C46"/>
    <mergeCell ref="D43:D46"/>
    <mergeCell ref="E43:F44"/>
    <mergeCell ref="G43:H44"/>
    <mergeCell ref="I43:I46"/>
    <mergeCell ref="J43:J46"/>
    <mergeCell ref="K43:K46"/>
    <mergeCell ref="U52:V52"/>
    <mergeCell ref="G54:H54"/>
    <mergeCell ref="F1:N1"/>
    <mergeCell ref="E54:F54"/>
    <mergeCell ref="G57:H57"/>
    <mergeCell ref="E55:F55"/>
    <mergeCell ref="E140:F140"/>
    <mergeCell ref="G140:H140"/>
    <mergeCell ref="E141:F141"/>
    <mergeCell ref="G141:H141"/>
    <mergeCell ref="E56:F56"/>
    <mergeCell ref="I136:I137"/>
    <mergeCell ref="E137:F137"/>
    <mergeCell ref="G137:H137"/>
    <mergeCell ref="Q52:R52"/>
    <mergeCell ref="S52:T52"/>
    <mergeCell ref="E139:F139"/>
    <mergeCell ref="G139:H139"/>
    <mergeCell ref="J88:N88"/>
    <mergeCell ref="J89:N89"/>
    <mergeCell ref="J136:J137"/>
    <mergeCell ref="K136:K137"/>
    <mergeCell ref="E57:F57"/>
    <mergeCell ref="A60:N60"/>
    <mergeCell ref="J74:N74"/>
    <mergeCell ref="A5:D5"/>
    <mergeCell ref="A6:D6"/>
    <mergeCell ref="A7:D7"/>
    <mergeCell ref="A55:C55"/>
    <mergeCell ref="G56:H56"/>
    <mergeCell ref="E5:N5"/>
    <mergeCell ref="E6:I9"/>
    <mergeCell ref="J6:N9"/>
    <mergeCell ref="A9:D9"/>
    <mergeCell ref="A10:C10"/>
    <mergeCell ref="G55:H55"/>
    <mergeCell ref="L11:L14"/>
    <mergeCell ref="M11:M14"/>
    <mergeCell ref="N11:N14"/>
    <mergeCell ref="E13:E14"/>
    <mergeCell ref="F13:F14"/>
    <mergeCell ref="G13:G14"/>
    <mergeCell ref="H13:H14"/>
    <mergeCell ref="A15:N15"/>
    <mergeCell ref="N28:N29"/>
    <mergeCell ref="A11:A14"/>
    <mergeCell ref="B11:B14"/>
    <mergeCell ref="C11:C14"/>
    <mergeCell ref="B61:N61"/>
    <mergeCell ref="B62:N62"/>
    <mergeCell ref="B63:N63"/>
    <mergeCell ref="B64:N64"/>
    <mergeCell ref="J70:N70"/>
    <mergeCell ref="J73:N73"/>
    <mergeCell ref="B65:N65"/>
    <mergeCell ref="A67:D67"/>
    <mergeCell ref="J67:N67"/>
    <mergeCell ref="A71:D71"/>
    <mergeCell ref="J71:N71"/>
    <mergeCell ref="B149:N149"/>
    <mergeCell ref="B150:N150"/>
    <mergeCell ref="A152:D152"/>
    <mergeCell ref="J152:N152"/>
    <mergeCell ref="A92:C92"/>
    <mergeCell ref="A93:A96"/>
    <mergeCell ref="B93:B96"/>
    <mergeCell ref="C93:C96"/>
    <mergeCell ref="D93:D96"/>
    <mergeCell ref="E93:F94"/>
    <mergeCell ref="G93:H94"/>
    <mergeCell ref="I93:I96"/>
    <mergeCell ref="J93:J96"/>
    <mergeCell ref="K93:K96"/>
    <mergeCell ref="L93:L96"/>
    <mergeCell ref="M93:M96"/>
    <mergeCell ref="N93:N96"/>
    <mergeCell ref="E95:E96"/>
    <mergeCell ref="F95:F96"/>
    <mergeCell ref="G95:G96"/>
    <mergeCell ref="H95:H96"/>
    <mergeCell ref="A97:N97"/>
    <mergeCell ref="N108:N109"/>
    <mergeCell ref="A110:B111"/>
  </mergeCells>
  <pageMargins left="0.27500000000000002" right="0.10833333333333334" top="0.42708333333333331" bottom="0.39583333333333331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56"/>
  <sheetViews>
    <sheetView view="pageLayout" workbookViewId="0">
      <selection activeCell="P52" sqref="P52:V55"/>
    </sheetView>
  </sheetViews>
  <sheetFormatPr defaultColWidth="9.140625" defaultRowHeight="22.15" customHeight="1" x14ac:dyDescent="0.25"/>
  <cols>
    <col min="1" max="1" width="4" style="1" customWidth="1"/>
    <col min="2" max="2" width="12.7109375" style="1" customWidth="1"/>
    <col min="3" max="3" width="6.85546875" style="1" customWidth="1"/>
    <col min="4" max="4" width="7.28515625" style="1" customWidth="1"/>
    <col min="5" max="8" width="6.7109375" style="1" customWidth="1"/>
    <col min="9" max="9" width="7.7109375" style="1" customWidth="1"/>
    <col min="10" max="10" width="8.28515625" style="1" customWidth="1"/>
    <col min="11" max="11" width="8" style="1" customWidth="1"/>
    <col min="12" max="12" width="5.7109375" style="1" customWidth="1"/>
    <col min="13" max="13" width="6.7109375" style="1" customWidth="1"/>
    <col min="14" max="14" width="7.28515625" style="1" customWidth="1"/>
    <col min="15" max="15" width="11.85546875" style="1" customWidth="1"/>
    <col min="16" max="16" width="9.140625" style="1"/>
    <col min="17" max="22" width="8.7109375" style="1" customWidth="1"/>
    <col min="23" max="16384" width="9.140625" style="1"/>
  </cols>
  <sheetData>
    <row r="1" spans="1:16" ht="19.899999999999999" customHeight="1" x14ac:dyDescent="0.3">
      <c r="A1" s="10" t="s">
        <v>61</v>
      </c>
      <c r="B1" s="7"/>
      <c r="C1" s="7"/>
      <c r="D1" s="7"/>
      <c r="E1" s="7"/>
      <c r="F1" s="378" t="s">
        <v>31</v>
      </c>
      <c r="G1" s="378"/>
      <c r="H1" s="378"/>
      <c r="I1" s="378"/>
      <c r="J1" s="378"/>
      <c r="K1" s="378"/>
      <c r="L1" s="378"/>
      <c r="M1" s="378"/>
      <c r="N1" s="378"/>
      <c r="O1" s="156"/>
      <c r="P1" s="156"/>
    </row>
    <row r="2" spans="1:16" ht="19.899999999999999" customHeight="1" x14ac:dyDescent="0.3">
      <c r="A2" s="10"/>
      <c r="B2" s="7"/>
      <c r="C2" s="7"/>
      <c r="D2" s="7"/>
      <c r="E2" s="7"/>
      <c r="F2" s="154"/>
      <c r="G2" s="154"/>
      <c r="H2" s="154"/>
      <c r="I2" s="154"/>
      <c r="J2" s="154"/>
      <c r="K2" s="154"/>
      <c r="L2" s="154"/>
      <c r="M2" s="154"/>
      <c r="N2" s="154"/>
      <c r="O2" s="156"/>
      <c r="P2" s="156"/>
    </row>
    <row r="3" spans="1:16" ht="19.899999999999999" customHeight="1" x14ac:dyDescent="0.3">
      <c r="A3" s="7" t="s">
        <v>206</v>
      </c>
      <c r="B3" s="7"/>
      <c r="C3" s="7"/>
      <c r="D3" s="7"/>
      <c r="E3" s="7"/>
      <c r="F3" s="154"/>
      <c r="G3" s="154"/>
      <c r="H3" s="154"/>
      <c r="I3" s="154"/>
      <c r="J3" s="154"/>
      <c r="K3" s="154"/>
      <c r="L3" s="154"/>
      <c r="M3" s="154"/>
      <c r="N3" s="154"/>
      <c r="O3" s="156"/>
      <c r="P3" s="156"/>
    </row>
    <row r="4" spans="1:16" ht="19.899999999999999" customHeight="1" x14ac:dyDescent="0.3">
      <c r="A4" s="7"/>
      <c r="B4" s="7"/>
      <c r="C4" s="7"/>
      <c r="D4" s="7"/>
      <c r="E4" s="7"/>
      <c r="F4" s="154"/>
      <c r="G4" s="154"/>
      <c r="H4" s="154"/>
      <c r="I4" s="154"/>
      <c r="J4" s="154"/>
      <c r="K4" s="154"/>
      <c r="L4" s="154"/>
      <c r="M4" s="154"/>
      <c r="N4" s="154"/>
      <c r="O4" s="156"/>
      <c r="P4" s="156"/>
    </row>
    <row r="5" spans="1:16" ht="19.899999999999999" customHeight="1" x14ac:dyDescent="0.25">
      <c r="A5" s="279" t="s">
        <v>97</v>
      </c>
      <c r="B5" s="279"/>
      <c r="C5" s="279"/>
      <c r="D5" s="279"/>
      <c r="E5" s="279" t="s">
        <v>98</v>
      </c>
      <c r="F5" s="279"/>
      <c r="G5" s="279"/>
      <c r="H5" s="279"/>
      <c r="I5" s="279"/>
      <c r="J5" s="279"/>
      <c r="K5" s="279"/>
      <c r="L5" s="279"/>
      <c r="M5" s="279"/>
      <c r="N5" s="279"/>
      <c r="O5" s="157"/>
    </row>
    <row r="6" spans="1:16" ht="19.899999999999999" customHeight="1" x14ac:dyDescent="0.25">
      <c r="A6" s="280" t="s">
        <v>90</v>
      </c>
      <c r="B6" s="280"/>
      <c r="C6" s="280"/>
      <c r="D6" s="280"/>
      <c r="E6" s="283" t="s">
        <v>148</v>
      </c>
      <c r="F6" s="283"/>
      <c r="G6" s="283"/>
      <c r="H6" s="283"/>
      <c r="I6" s="283"/>
      <c r="J6" s="284" t="s">
        <v>145</v>
      </c>
      <c r="K6" s="285"/>
      <c r="L6" s="285"/>
      <c r="M6" s="285"/>
      <c r="N6" s="286"/>
      <c r="O6" s="157"/>
    </row>
    <row r="7" spans="1:16" ht="19.899999999999999" customHeight="1" x14ac:dyDescent="0.25">
      <c r="A7" s="403" t="s">
        <v>158</v>
      </c>
      <c r="B7" s="404"/>
      <c r="C7" s="404"/>
      <c r="D7" s="405"/>
      <c r="E7" s="283"/>
      <c r="F7" s="283"/>
      <c r="G7" s="283"/>
      <c r="H7" s="283"/>
      <c r="I7" s="283"/>
      <c r="J7" s="287"/>
      <c r="K7" s="288"/>
      <c r="L7" s="288"/>
      <c r="M7" s="288"/>
      <c r="N7" s="289"/>
      <c r="O7" s="157"/>
    </row>
    <row r="8" spans="1:16" ht="19.899999999999999" customHeight="1" x14ac:dyDescent="0.25">
      <c r="A8" s="281" t="s">
        <v>187</v>
      </c>
      <c r="B8" s="281"/>
      <c r="C8" s="281"/>
      <c r="D8" s="281"/>
      <c r="E8" s="283"/>
      <c r="F8" s="283"/>
      <c r="G8" s="283"/>
      <c r="H8" s="283"/>
      <c r="I8" s="283"/>
      <c r="J8" s="287"/>
      <c r="K8" s="288"/>
      <c r="L8" s="288"/>
      <c r="M8" s="288"/>
      <c r="N8" s="289"/>
      <c r="O8" s="157"/>
    </row>
    <row r="9" spans="1:16" ht="19.899999999999999" customHeight="1" x14ac:dyDescent="0.25">
      <c r="A9" s="282" t="s">
        <v>186</v>
      </c>
      <c r="B9" s="282"/>
      <c r="C9" s="282"/>
      <c r="D9" s="282"/>
      <c r="E9" s="283"/>
      <c r="F9" s="283"/>
      <c r="G9" s="283"/>
      <c r="H9" s="283"/>
      <c r="I9" s="283"/>
      <c r="J9" s="290"/>
      <c r="K9" s="291"/>
      <c r="L9" s="291"/>
      <c r="M9" s="291"/>
      <c r="N9" s="292"/>
      <c r="O9" s="157"/>
    </row>
    <row r="10" spans="1:16" ht="19.899999999999999" customHeight="1" x14ac:dyDescent="0.25">
      <c r="A10" s="309" t="s">
        <v>122</v>
      </c>
      <c r="B10" s="310"/>
      <c r="C10" s="311"/>
      <c r="D10" s="108">
        <v>207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157"/>
    </row>
    <row r="11" spans="1:16" ht="19.899999999999999" customHeight="1" x14ac:dyDescent="0.25">
      <c r="A11" s="293" t="s">
        <v>0</v>
      </c>
      <c r="B11" s="296" t="s">
        <v>19</v>
      </c>
      <c r="C11" s="296" t="s">
        <v>8</v>
      </c>
      <c r="D11" s="296" t="s">
        <v>9</v>
      </c>
      <c r="E11" s="299" t="s">
        <v>11</v>
      </c>
      <c r="F11" s="300"/>
      <c r="G11" s="299" t="s">
        <v>13</v>
      </c>
      <c r="H11" s="300"/>
      <c r="I11" s="293" t="s">
        <v>16</v>
      </c>
      <c r="J11" s="293" t="s">
        <v>41</v>
      </c>
      <c r="K11" s="293" t="s">
        <v>42</v>
      </c>
      <c r="L11" s="406" t="s">
        <v>17</v>
      </c>
      <c r="M11" s="293" t="s">
        <v>55</v>
      </c>
      <c r="N11" s="293" t="s">
        <v>18</v>
      </c>
      <c r="O11" s="158"/>
    </row>
    <row r="12" spans="1:16" ht="19.899999999999999" customHeight="1" x14ac:dyDescent="0.25">
      <c r="A12" s="294"/>
      <c r="B12" s="297"/>
      <c r="C12" s="297"/>
      <c r="D12" s="297"/>
      <c r="E12" s="301"/>
      <c r="F12" s="302"/>
      <c r="G12" s="301"/>
      <c r="H12" s="302"/>
      <c r="I12" s="303"/>
      <c r="J12" s="303"/>
      <c r="K12" s="303"/>
      <c r="L12" s="407"/>
      <c r="M12" s="303"/>
      <c r="N12" s="294"/>
      <c r="O12" s="149"/>
    </row>
    <row r="13" spans="1:16" ht="19.899999999999999" customHeight="1" x14ac:dyDescent="0.25">
      <c r="A13" s="294"/>
      <c r="B13" s="297"/>
      <c r="C13" s="297"/>
      <c r="D13" s="297"/>
      <c r="E13" s="293" t="s">
        <v>10</v>
      </c>
      <c r="F13" s="293" t="s">
        <v>12</v>
      </c>
      <c r="G13" s="293" t="s">
        <v>14</v>
      </c>
      <c r="H13" s="293" t="s">
        <v>15</v>
      </c>
      <c r="I13" s="303"/>
      <c r="J13" s="303"/>
      <c r="K13" s="303"/>
      <c r="L13" s="407"/>
      <c r="M13" s="303"/>
      <c r="N13" s="294"/>
      <c r="O13" s="149"/>
    </row>
    <row r="14" spans="1:16" ht="19.899999999999999" customHeight="1" x14ac:dyDescent="0.25">
      <c r="A14" s="295"/>
      <c r="B14" s="298"/>
      <c r="C14" s="298"/>
      <c r="D14" s="298"/>
      <c r="E14" s="304"/>
      <c r="F14" s="304"/>
      <c r="G14" s="304"/>
      <c r="H14" s="304"/>
      <c r="I14" s="304"/>
      <c r="J14" s="304"/>
      <c r="K14" s="304"/>
      <c r="L14" s="408"/>
      <c r="M14" s="304"/>
      <c r="N14" s="295"/>
      <c r="O14" s="149"/>
    </row>
    <row r="15" spans="1:16" ht="20.45" customHeight="1" x14ac:dyDescent="0.25">
      <c r="A15" s="318" t="s">
        <v>34</v>
      </c>
      <c r="B15" s="319"/>
      <c r="C15" s="319"/>
      <c r="D15" s="319"/>
      <c r="E15" s="319"/>
      <c r="F15" s="319"/>
      <c r="G15" s="319"/>
      <c r="H15" s="319"/>
      <c r="I15" s="319"/>
      <c r="J15" s="319"/>
      <c r="K15" s="319"/>
      <c r="L15" s="319"/>
      <c r="M15" s="319"/>
      <c r="N15" s="320"/>
      <c r="O15" s="149"/>
    </row>
    <row r="16" spans="1:16" ht="20.45" customHeight="1" x14ac:dyDescent="0.25">
      <c r="A16" s="8">
        <v>1</v>
      </c>
      <c r="B16" s="5" t="s">
        <v>123</v>
      </c>
      <c r="C16" s="20"/>
      <c r="D16" s="117"/>
      <c r="E16" s="22"/>
      <c r="F16" s="22"/>
      <c r="G16" s="22"/>
      <c r="H16" s="22"/>
      <c r="I16" s="22"/>
      <c r="J16" s="22"/>
      <c r="K16" s="22"/>
      <c r="L16" s="23"/>
      <c r="M16" s="23"/>
      <c r="N16" s="20">
        <v>15750</v>
      </c>
      <c r="O16" s="3"/>
    </row>
    <row r="17" spans="1:20" ht="20.45" customHeight="1" x14ac:dyDescent="0.25">
      <c r="A17" s="8">
        <v>2</v>
      </c>
      <c r="B17" s="9" t="s">
        <v>2</v>
      </c>
      <c r="C17" s="20">
        <f>L17/100*100</f>
        <v>270</v>
      </c>
      <c r="D17" s="21">
        <f>C17/100*60</f>
        <v>162</v>
      </c>
      <c r="E17" s="22">
        <f>C17/100*15</f>
        <v>40.5</v>
      </c>
      <c r="F17" s="22"/>
      <c r="G17" s="22"/>
      <c r="H17" s="22"/>
      <c r="I17" s="22"/>
      <c r="J17" s="24">
        <f>C17/100*387</f>
        <v>1044.9000000000001</v>
      </c>
      <c r="K17" s="24">
        <f>C17/100*0.09</f>
        <v>0.24299999999999999</v>
      </c>
      <c r="L17" s="116">
        <v>270</v>
      </c>
      <c r="M17" s="61">
        <v>20</v>
      </c>
      <c r="N17" s="20">
        <f>L17*M17</f>
        <v>5400</v>
      </c>
      <c r="O17" s="3"/>
    </row>
    <row r="18" spans="1:20" ht="20.45" customHeight="1" x14ac:dyDescent="0.25">
      <c r="A18" s="8">
        <v>3</v>
      </c>
      <c r="B18" s="9" t="s">
        <v>141</v>
      </c>
      <c r="C18" s="20">
        <f>L18/100*100</f>
        <v>1490</v>
      </c>
      <c r="D18" s="100">
        <f>C18/100*899</f>
        <v>13395.1</v>
      </c>
      <c r="E18" s="22"/>
      <c r="F18" s="22"/>
      <c r="G18" s="99">
        <f>C18/100*100</f>
        <v>1490</v>
      </c>
      <c r="H18" s="22"/>
      <c r="I18" s="22"/>
      <c r="J18" s="22"/>
      <c r="K18" s="22"/>
      <c r="L18" s="116">
        <v>1490</v>
      </c>
      <c r="M18" s="21">
        <v>68</v>
      </c>
      <c r="N18" s="20">
        <f t="shared" ref="N18:N27" si="0">L18*M18</f>
        <v>101320</v>
      </c>
      <c r="O18" s="160"/>
    </row>
    <row r="19" spans="1:20" ht="20.45" customHeight="1" x14ac:dyDescent="0.25">
      <c r="A19" s="8">
        <v>4</v>
      </c>
      <c r="B19" s="9" t="s">
        <v>5</v>
      </c>
      <c r="C19" s="20">
        <f>L19/100*90</f>
        <v>159.30000000000001</v>
      </c>
      <c r="D19" s="21">
        <f>C19/100*281</f>
        <v>447.63300000000004</v>
      </c>
      <c r="E19" s="22"/>
      <c r="F19" s="22">
        <f>C19/100*9.5</f>
        <v>15.133500000000002</v>
      </c>
      <c r="G19" s="22"/>
      <c r="H19" s="22">
        <f>C19/100*0.2</f>
        <v>0.31860000000000005</v>
      </c>
      <c r="I19" s="22">
        <f>C19/100*58.5</f>
        <v>93.190500000000014</v>
      </c>
      <c r="J19" s="24">
        <f>C19/100*321.3</f>
        <v>511.8309000000001</v>
      </c>
      <c r="K19" s="24">
        <f>C19/100*0.14</f>
        <v>0.22302000000000005</v>
      </c>
      <c r="L19" s="116">
        <v>177</v>
      </c>
      <c r="M19" s="61">
        <v>120</v>
      </c>
      <c r="N19" s="20">
        <f t="shared" si="0"/>
        <v>21240</v>
      </c>
      <c r="O19" s="3"/>
    </row>
    <row r="20" spans="1:20" ht="20.45" customHeight="1" x14ac:dyDescent="0.25">
      <c r="A20" s="8">
        <v>5</v>
      </c>
      <c r="B20" s="9" t="s">
        <v>70</v>
      </c>
      <c r="C20" s="20">
        <f>L20/100*90</f>
        <v>117</v>
      </c>
      <c r="D20" s="21">
        <f>C20/100*253</f>
        <v>296.01</v>
      </c>
      <c r="E20" s="22"/>
      <c r="F20" s="22">
        <f>C20/100*32.4</f>
        <v>37.907999999999994</v>
      </c>
      <c r="G20" s="22"/>
      <c r="H20" s="22">
        <f>C20/100*3.6</f>
        <v>4.2119999999999997</v>
      </c>
      <c r="I20" s="22">
        <f>C20/100*21.1</f>
        <v>24.687000000000001</v>
      </c>
      <c r="J20" s="24">
        <f>C20/100*165.6</f>
        <v>193.75199999999998</v>
      </c>
      <c r="K20" s="24">
        <f>C20/100*0.14</f>
        <v>0.1638</v>
      </c>
      <c r="L20" s="116">
        <v>130</v>
      </c>
      <c r="M20" s="61">
        <v>275</v>
      </c>
      <c r="N20" s="20">
        <f t="shared" si="0"/>
        <v>35750</v>
      </c>
      <c r="O20" s="3"/>
    </row>
    <row r="21" spans="1:20" ht="20.45" customHeight="1" x14ac:dyDescent="0.25">
      <c r="A21" s="8">
        <v>6</v>
      </c>
      <c r="B21" s="4" t="s">
        <v>1</v>
      </c>
      <c r="C21" s="20">
        <f>L21/100*100</f>
        <v>19665</v>
      </c>
      <c r="D21" s="100">
        <f>C21/100*344</f>
        <v>67647.600000000006</v>
      </c>
      <c r="E21" s="22"/>
      <c r="F21" s="118">
        <f>C21/100*7.9</f>
        <v>1553.5350000000001</v>
      </c>
      <c r="G21" s="22"/>
      <c r="H21" s="22">
        <f>C21/100*1</f>
        <v>196.65</v>
      </c>
      <c r="I21" s="118">
        <f>C21/100*73.3</f>
        <v>14414.445</v>
      </c>
      <c r="J21" s="24">
        <f>C21/100*30</f>
        <v>5899.5</v>
      </c>
      <c r="K21" s="24">
        <f>C21/100*0.1</f>
        <v>19.665000000000003</v>
      </c>
      <c r="L21" s="182">
        <v>19665</v>
      </c>
      <c r="M21" s="61">
        <v>18</v>
      </c>
      <c r="N21" s="20">
        <f t="shared" si="0"/>
        <v>353970</v>
      </c>
      <c r="O21" s="3"/>
      <c r="R21" s="15"/>
      <c r="S21" s="15"/>
    </row>
    <row r="22" spans="1:20" ht="20.45" customHeight="1" x14ac:dyDescent="0.25">
      <c r="A22" s="8">
        <v>7</v>
      </c>
      <c r="B22" s="4" t="s">
        <v>63</v>
      </c>
      <c r="C22" s="20">
        <f>L22/100*86</f>
        <v>2666</v>
      </c>
      <c r="D22" s="21">
        <f>C22/100*166</f>
        <v>4425.5600000000004</v>
      </c>
      <c r="E22" s="22">
        <f>C22/100*14.8</f>
        <v>394.56800000000004</v>
      </c>
      <c r="F22" s="22"/>
      <c r="G22" s="22">
        <f>C22/100*11.6</f>
        <v>309.25599999999997</v>
      </c>
      <c r="H22" s="22"/>
      <c r="I22" s="22">
        <f>C22/100*0.5</f>
        <v>13.33</v>
      </c>
      <c r="J22" s="24">
        <f>C22/100*55</f>
        <v>1466.3</v>
      </c>
      <c r="K22" s="24">
        <f>C22/100*0.16</f>
        <v>4.2656000000000001</v>
      </c>
      <c r="L22" s="116">
        <v>3100</v>
      </c>
      <c r="M22" s="61">
        <v>62</v>
      </c>
      <c r="N22" s="20">
        <f t="shared" si="0"/>
        <v>192200</v>
      </c>
      <c r="O22" s="3"/>
      <c r="Q22" s="2"/>
      <c r="R22" s="2"/>
      <c r="S22" s="3"/>
    </row>
    <row r="23" spans="1:20" ht="20.45" customHeight="1" x14ac:dyDescent="0.25">
      <c r="A23" s="8">
        <v>8</v>
      </c>
      <c r="B23" s="9" t="s">
        <v>71</v>
      </c>
      <c r="C23" s="20">
        <f>L23/100*98</f>
        <v>8173.2000000000007</v>
      </c>
      <c r="D23" s="100">
        <f>C23/100*139</f>
        <v>11360.748000000001</v>
      </c>
      <c r="E23" s="99">
        <f>C23/100*19</f>
        <v>1552.9080000000004</v>
      </c>
      <c r="F23" s="22"/>
      <c r="G23" s="22">
        <f>C23/100*7</f>
        <v>572.12400000000014</v>
      </c>
      <c r="H23" s="22"/>
      <c r="I23" s="22"/>
      <c r="J23" s="24">
        <f>C23/100*7</f>
        <v>572.12400000000014</v>
      </c>
      <c r="K23" s="24">
        <f>C23/100*0.9</f>
        <v>73.558800000000019</v>
      </c>
      <c r="L23" s="116">
        <v>8340</v>
      </c>
      <c r="M23" s="61">
        <v>130</v>
      </c>
      <c r="N23" s="104">
        <f t="shared" si="0"/>
        <v>1084200</v>
      </c>
      <c r="O23" s="3"/>
    </row>
    <row r="24" spans="1:20" ht="20.45" customHeight="1" x14ac:dyDescent="0.25">
      <c r="A24" s="8">
        <v>9</v>
      </c>
      <c r="B24" s="127" t="s">
        <v>96</v>
      </c>
      <c r="C24" s="20">
        <f>L24/100*90</f>
        <v>1719.0000000000002</v>
      </c>
      <c r="D24" s="21">
        <f>C24/100*90</f>
        <v>1547.1000000000001</v>
      </c>
      <c r="E24" s="22">
        <f>C24/100*18.4</f>
        <v>316.29599999999999</v>
      </c>
      <c r="F24" s="22"/>
      <c r="G24" s="22">
        <f>C24/100*1.8</f>
        <v>30.942000000000004</v>
      </c>
      <c r="H24" s="22"/>
      <c r="I24" s="22"/>
      <c r="J24" s="66">
        <f>C24/100*1120</f>
        <v>19252.800000000003</v>
      </c>
      <c r="K24" s="24">
        <f>C24/100*0.02</f>
        <v>0.34380000000000005</v>
      </c>
      <c r="L24" s="116">
        <v>1910</v>
      </c>
      <c r="M24" s="23">
        <v>250</v>
      </c>
      <c r="N24" s="104">
        <f t="shared" si="0"/>
        <v>477500</v>
      </c>
      <c r="O24" s="3"/>
      <c r="Q24" s="2"/>
      <c r="R24" s="2"/>
      <c r="S24" s="3"/>
    </row>
    <row r="25" spans="1:20" ht="20.45" customHeight="1" x14ac:dyDescent="0.25">
      <c r="A25" s="8">
        <v>10</v>
      </c>
      <c r="B25" s="4" t="s">
        <v>181</v>
      </c>
      <c r="C25" s="20">
        <f>L25/100*90</f>
        <v>6318</v>
      </c>
      <c r="D25" s="21">
        <f>C25/100*29</f>
        <v>1832.22</v>
      </c>
      <c r="E25" s="22"/>
      <c r="F25" s="22">
        <f>C25/100*1.8</f>
        <v>113.724</v>
      </c>
      <c r="G25" s="22"/>
      <c r="H25" s="22">
        <f>C25/100*0.1</f>
        <v>6.3180000000000005</v>
      </c>
      <c r="I25" s="22">
        <f>C25/100*5.3</f>
        <v>334.85399999999998</v>
      </c>
      <c r="J25" s="22">
        <f>C25/100*48</f>
        <v>3032.64</v>
      </c>
      <c r="K25" s="22">
        <f>C25/100*0.05</f>
        <v>3.1590000000000003</v>
      </c>
      <c r="L25" s="116">
        <v>7020</v>
      </c>
      <c r="M25" s="61">
        <v>15</v>
      </c>
      <c r="N25" s="20">
        <f t="shared" si="0"/>
        <v>105300</v>
      </c>
      <c r="O25" s="3"/>
    </row>
    <row r="26" spans="1:20" ht="20.45" customHeight="1" x14ac:dyDescent="0.25">
      <c r="A26" s="8">
        <v>11</v>
      </c>
      <c r="B26" s="4" t="s">
        <v>93</v>
      </c>
      <c r="C26" s="20">
        <f>L26/100*81.7</f>
        <v>3390.55</v>
      </c>
      <c r="D26" s="21">
        <f>C26/100*27</f>
        <v>915.44850000000008</v>
      </c>
      <c r="E26" s="25"/>
      <c r="F26" s="25">
        <f>C26/100*0.3</f>
        <v>10.171650000000001</v>
      </c>
      <c r="G26" s="25"/>
      <c r="H26" s="25">
        <f>C26/100*0.1</f>
        <v>3.3905500000000006</v>
      </c>
      <c r="I26" s="25">
        <f>C26/100*6.1</f>
        <v>206.82355000000001</v>
      </c>
      <c r="J26" s="60">
        <f>C26/100*24</f>
        <v>813.73200000000008</v>
      </c>
      <c r="K26" s="60">
        <f>C26/100*0.06</f>
        <v>2.0343300000000002</v>
      </c>
      <c r="L26" s="161">
        <v>4150</v>
      </c>
      <c r="M26" s="23">
        <v>22</v>
      </c>
      <c r="N26" s="20">
        <f t="shared" si="0"/>
        <v>91300</v>
      </c>
      <c r="O26" s="3"/>
      <c r="Q26" s="2"/>
      <c r="R26" s="2"/>
      <c r="S26" s="3"/>
    </row>
    <row r="27" spans="1:20" ht="20.45" customHeight="1" x14ac:dyDescent="0.25">
      <c r="A27" s="8">
        <v>12</v>
      </c>
      <c r="B27" s="4" t="s">
        <v>136</v>
      </c>
      <c r="C27" s="20">
        <f>L27/100*100</f>
        <v>210</v>
      </c>
      <c r="D27" s="21">
        <f>C27/100*247</f>
        <v>518.70000000000005</v>
      </c>
      <c r="E27" s="25"/>
      <c r="F27" s="25">
        <f>C27/100*17.5</f>
        <v>36.75</v>
      </c>
      <c r="G27" s="25"/>
      <c r="H27" s="25">
        <f>C27/100*1.6</f>
        <v>3.3600000000000003</v>
      </c>
      <c r="I27" s="25">
        <f>C27/100*39.2</f>
        <v>82.320000000000007</v>
      </c>
      <c r="J27" s="60"/>
      <c r="K27" s="60"/>
      <c r="L27" s="161">
        <v>210</v>
      </c>
      <c r="M27" s="61">
        <v>50</v>
      </c>
      <c r="N27" s="20">
        <f t="shared" si="0"/>
        <v>10500</v>
      </c>
      <c r="O27" s="3"/>
      <c r="Q27" s="2"/>
      <c r="R27" s="2"/>
      <c r="S27" s="3"/>
      <c r="T27" s="2"/>
    </row>
    <row r="28" spans="1:20" ht="20.45" customHeight="1" x14ac:dyDescent="0.25">
      <c r="A28" s="18" t="s">
        <v>105</v>
      </c>
      <c r="B28" s="19"/>
      <c r="C28" s="29"/>
      <c r="D28" s="146">
        <f>SUM(D16:D27)</f>
        <v>102548.11950000002</v>
      </c>
      <c r="E28" s="31"/>
      <c r="F28" s="31"/>
      <c r="G28" s="31"/>
      <c r="H28" s="31"/>
      <c r="I28" s="31"/>
      <c r="J28" s="31"/>
      <c r="K28" s="31"/>
      <c r="L28" s="32"/>
      <c r="M28" s="401"/>
      <c r="N28" s="384">
        <f>SUM(N16:N27)</f>
        <v>2494430</v>
      </c>
      <c r="O28" s="3"/>
    </row>
    <row r="29" spans="1:20" ht="20.45" customHeight="1" x14ac:dyDescent="0.25">
      <c r="A29" s="18" t="s">
        <v>6</v>
      </c>
      <c r="B29" s="19"/>
      <c r="C29" s="29"/>
      <c r="D29" s="30">
        <f>D28/D10</f>
        <v>495.40154347826092</v>
      </c>
      <c r="E29" s="31"/>
      <c r="F29" s="31"/>
      <c r="G29" s="31"/>
      <c r="H29" s="31"/>
      <c r="I29" s="31"/>
      <c r="J29" s="31"/>
      <c r="K29" s="31"/>
      <c r="L29" s="32"/>
      <c r="M29" s="402"/>
      <c r="N29" s="385"/>
      <c r="O29" s="3"/>
    </row>
    <row r="30" spans="1:20" ht="20.45" customHeight="1" x14ac:dyDescent="0.25">
      <c r="A30" s="380" t="s">
        <v>51</v>
      </c>
      <c r="B30" s="306"/>
      <c r="C30" s="173" t="s">
        <v>151</v>
      </c>
      <c r="D30" s="17" t="s">
        <v>45</v>
      </c>
      <c r="E30" s="31"/>
      <c r="F30" s="31"/>
      <c r="G30" s="31"/>
      <c r="H30" s="31"/>
      <c r="I30" s="31"/>
      <c r="J30" s="31"/>
      <c r="K30" s="31"/>
      <c r="L30" s="32"/>
      <c r="M30" s="32"/>
      <c r="N30" s="33"/>
      <c r="O30" s="3"/>
    </row>
    <row r="31" spans="1:20" ht="20.45" customHeight="1" x14ac:dyDescent="0.25">
      <c r="A31" s="307"/>
      <c r="B31" s="308"/>
      <c r="C31" s="62" t="s">
        <v>60</v>
      </c>
      <c r="D31" s="17">
        <f>D29*100/1320</f>
        <v>37.530419960474312</v>
      </c>
      <c r="E31" s="31"/>
      <c r="F31" s="31"/>
      <c r="G31" s="31"/>
      <c r="H31" s="31"/>
      <c r="I31" s="31"/>
      <c r="J31" s="31"/>
      <c r="K31" s="31"/>
      <c r="L31" s="32"/>
      <c r="M31" s="32"/>
      <c r="N31" s="33"/>
      <c r="O31" s="3"/>
    </row>
    <row r="32" spans="1:20" ht="20.45" customHeight="1" x14ac:dyDescent="0.3">
      <c r="A32" s="316" t="s">
        <v>35</v>
      </c>
      <c r="B32" s="316"/>
      <c r="C32" s="47"/>
      <c r="D32" s="48"/>
      <c r="E32" s="49"/>
      <c r="F32" s="49"/>
      <c r="G32" s="49"/>
      <c r="H32" s="49"/>
      <c r="I32" s="49"/>
      <c r="J32" s="49"/>
      <c r="K32" s="49"/>
      <c r="L32" s="50"/>
      <c r="M32" s="50"/>
      <c r="N32" s="58"/>
      <c r="O32" s="3"/>
    </row>
    <row r="33" spans="1:20" ht="20.45" customHeight="1" x14ac:dyDescent="0.25">
      <c r="A33" s="8">
        <v>1</v>
      </c>
      <c r="B33" s="5" t="s">
        <v>123</v>
      </c>
      <c r="C33" s="20"/>
      <c r="D33" s="117"/>
      <c r="E33" s="22"/>
      <c r="F33" s="22"/>
      <c r="G33" s="22"/>
      <c r="H33" s="22"/>
      <c r="I33" s="22">
        <v>49</v>
      </c>
      <c r="J33" s="22"/>
      <c r="K33" s="22"/>
      <c r="L33" s="23"/>
      <c r="M33" s="23"/>
      <c r="N33" s="20">
        <v>13550</v>
      </c>
      <c r="O33" s="3"/>
    </row>
    <row r="34" spans="1:20" ht="20.45" customHeight="1" x14ac:dyDescent="0.25">
      <c r="A34" s="8">
        <v>2</v>
      </c>
      <c r="B34" s="4" t="s">
        <v>1</v>
      </c>
      <c r="C34" s="20">
        <f>L34/100*100</f>
        <v>3105</v>
      </c>
      <c r="D34" s="100">
        <f>C34/100*344</f>
        <v>10681.2</v>
      </c>
      <c r="E34" s="22"/>
      <c r="F34" s="22">
        <f>C34/100*7.9</f>
        <v>245.29500000000002</v>
      </c>
      <c r="G34" s="22"/>
      <c r="H34" s="22">
        <f>C34/100*1</f>
        <v>31.05</v>
      </c>
      <c r="I34" s="22">
        <f>C34/100*73.3</f>
        <v>2275.9650000000001</v>
      </c>
      <c r="J34" s="24">
        <f>C34/100*30</f>
        <v>931.5</v>
      </c>
      <c r="K34" s="24">
        <f>C34/100*0.1</f>
        <v>3.1050000000000004</v>
      </c>
      <c r="L34" s="116">
        <v>3105</v>
      </c>
      <c r="M34" s="63">
        <v>18</v>
      </c>
      <c r="N34" s="20">
        <f t="shared" ref="N34:N35" si="1">L34*M34</f>
        <v>55890</v>
      </c>
      <c r="O34" s="3"/>
    </row>
    <row r="35" spans="1:20" ht="20.45" customHeight="1" x14ac:dyDescent="0.25">
      <c r="A35" s="8">
        <v>3</v>
      </c>
      <c r="B35" s="4" t="s">
        <v>73</v>
      </c>
      <c r="C35" s="20">
        <f>L35/100*100</f>
        <v>2070</v>
      </c>
      <c r="D35" s="21">
        <f>C35/100*344</f>
        <v>7120.8</v>
      </c>
      <c r="E35" s="22"/>
      <c r="F35" s="22">
        <f>C35/100*8.6</f>
        <v>178.01999999999998</v>
      </c>
      <c r="G35" s="22"/>
      <c r="H35" s="22">
        <f>C35/100*1.5</f>
        <v>31.049999999999997</v>
      </c>
      <c r="I35" s="22">
        <f>C35/100*74.5</f>
        <v>1542.1499999999999</v>
      </c>
      <c r="J35" s="22">
        <f>C35/100*32</f>
        <v>662.4</v>
      </c>
      <c r="K35" s="22">
        <f>C35/100*0.14</f>
        <v>2.8980000000000001</v>
      </c>
      <c r="L35" s="116">
        <v>2070</v>
      </c>
      <c r="M35" s="61">
        <v>30</v>
      </c>
      <c r="N35" s="20">
        <f t="shared" si="1"/>
        <v>62100</v>
      </c>
      <c r="O35" s="3"/>
      <c r="P35" s="15"/>
    </row>
    <row r="36" spans="1:20" ht="20.45" customHeight="1" x14ac:dyDescent="0.25">
      <c r="A36" s="8">
        <v>4</v>
      </c>
      <c r="B36" s="9" t="s">
        <v>2</v>
      </c>
      <c r="C36" s="20">
        <f>L36/100*100</f>
        <v>250</v>
      </c>
      <c r="D36" s="21">
        <f>C36/100*60</f>
        <v>150</v>
      </c>
      <c r="E36" s="22">
        <f>C36/100*15</f>
        <v>37.5</v>
      </c>
      <c r="F36" s="22"/>
      <c r="G36" s="22"/>
      <c r="H36" s="22"/>
      <c r="I36" s="22"/>
      <c r="J36" s="24">
        <f>C36/100*387</f>
        <v>967.5</v>
      </c>
      <c r="K36" s="24">
        <f>C36/100*0.09</f>
        <v>0.22499999999999998</v>
      </c>
      <c r="L36" s="116">
        <v>250</v>
      </c>
      <c r="M36" s="61">
        <v>20</v>
      </c>
      <c r="N36" s="20">
        <f>L36*M36</f>
        <v>5000</v>
      </c>
      <c r="O36" s="3"/>
    </row>
    <row r="37" spans="1:20" ht="20.45" customHeight="1" x14ac:dyDescent="0.25">
      <c r="A37" s="8">
        <v>5</v>
      </c>
      <c r="B37" s="126" t="s">
        <v>146</v>
      </c>
      <c r="C37" s="20">
        <f t="shared" ref="C37" si="2">L37/100*100</f>
        <v>210</v>
      </c>
      <c r="D37" s="100">
        <f>C37/100*900</f>
        <v>1890</v>
      </c>
      <c r="E37" s="22"/>
      <c r="F37" s="22"/>
      <c r="G37" s="99"/>
      <c r="H37" s="22">
        <f>C37/100*100</f>
        <v>210</v>
      </c>
      <c r="I37" s="22"/>
      <c r="J37" s="22"/>
      <c r="K37" s="22"/>
      <c r="L37" s="116">
        <v>210</v>
      </c>
      <c r="M37" s="61">
        <v>63.5</v>
      </c>
      <c r="N37" s="20">
        <f t="shared" ref="N37:N41" si="3">L37*M37</f>
        <v>13335</v>
      </c>
      <c r="O37" s="160"/>
    </row>
    <row r="38" spans="1:20" ht="20.45" customHeight="1" x14ac:dyDescent="0.25">
      <c r="A38" s="8">
        <v>6</v>
      </c>
      <c r="B38" s="4" t="s">
        <v>69</v>
      </c>
      <c r="C38" s="20">
        <f>L38/100*48</f>
        <v>4939.2000000000007</v>
      </c>
      <c r="D38" s="21">
        <f>C38/100*199</f>
        <v>9829.0080000000016</v>
      </c>
      <c r="E38" s="99">
        <f>C38/100*20.3</f>
        <v>1002.6576000000002</v>
      </c>
      <c r="F38" s="22"/>
      <c r="G38" s="22">
        <f>C38/100*13.1</f>
        <v>647.03520000000015</v>
      </c>
      <c r="H38" s="22"/>
      <c r="I38" s="22"/>
      <c r="J38" s="24">
        <f>C38/100*12</f>
        <v>592.70400000000018</v>
      </c>
      <c r="K38" s="24">
        <f>C38/100*0.15</f>
        <v>7.4088000000000012</v>
      </c>
      <c r="L38" s="183">
        <v>10290</v>
      </c>
      <c r="M38" s="116">
        <v>84</v>
      </c>
      <c r="N38" s="20">
        <f t="shared" si="3"/>
        <v>864360</v>
      </c>
      <c r="O38" s="3"/>
      <c r="Q38" s="2"/>
      <c r="R38" s="2"/>
      <c r="S38" s="3"/>
    </row>
    <row r="39" spans="1:20" ht="20.45" customHeight="1" x14ac:dyDescent="0.25">
      <c r="A39" s="8">
        <v>7</v>
      </c>
      <c r="B39" s="4" t="s">
        <v>136</v>
      </c>
      <c r="C39" s="20">
        <f>L39/100*100</f>
        <v>130</v>
      </c>
      <c r="D39" s="21">
        <f>C39/100*247</f>
        <v>321.10000000000002</v>
      </c>
      <c r="E39" s="25"/>
      <c r="F39" s="25">
        <f>C39/100*17.5</f>
        <v>22.75</v>
      </c>
      <c r="G39" s="25"/>
      <c r="H39" s="25">
        <f>C39/100*1.6</f>
        <v>2.08</v>
      </c>
      <c r="I39" s="25">
        <f>C39/100*39.2</f>
        <v>50.960000000000008</v>
      </c>
      <c r="J39" s="60"/>
      <c r="K39" s="60"/>
      <c r="L39" s="161">
        <v>130</v>
      </c>
      <c r="M39" s="61">
        <v>50</v>
      </c>
      <c r="N39" s="20">
        <f t="shared" si="3"/>
        <v>6500</v>
      </c>
      <c r="O39" s="3"/>
      <c r="Q39" s="2"/>
      <c r="R39" s="2"/>
      <c r="S39" s="3"/>
      <c r="T39" s="2"/>
    </row>
    <row r="40" spans="1:20" ht="20.45" customHeight="1" x14ac:dyDescent="0.25">
      <c r="A40" s="8">
        <v>8</v>
      </c>
      <c r="B40" s="4" t="s">
        <v>75</v>
      </c>
      <c r="C40" s="20">
        <f>L40/100*75</f>
        <v>3090</v>
      </c>
      <c r="D40" s="21">
        <f>C40/100*12</f>
        <v>370.79999999999995</v>
      </c>
      <c r="E40" s="22"/>
      <c r="F40" s="22">
        <f>C40/100*0.6</f>
        <v>18.54</v>
      </c>
      <c r="G40" s="22"/>
      <c r="H40" s="22"/>
      <c r="I40" s="22">
        <f>C40/100*2.4</f>
        <v>74.16</v>
      </c>
      <c r="J40" s="22">
        <f>C40/100*26</f>
        <v>803.4</v>
      </c>
      <c r="K40" s="22">
        <f>C40/100*0.02</f>
        <v>0.61799999999999999</v>
      </c>
      <c r="L40" s="116">
        <v>4120</v>
      </c>
      <c r="M40" s="61">
        <v>30</v>
      </c>
      <c r="N40" s="20">
        <f t="shared" si="3"/>
        <v>123600</v>
      </c>
      <c r="O40" s="3"/>
    </row>
    <row r="41" spans="1:20" ht="20.45" customHeight="1" x14ac:dyDescent="0.25">
      <c r="A41" s="86">
        <v>9</v>
      </c>
      <c r="B41" s="133" t="s">
        <v>149</v>
      </c>
      <c r="C41" s="87">
        <f>L41/100*100</f>
        <v>3520.0000000000005</v>
      </c>
      <c r="D41" s="144">
        <f>C41/100*487</f>
        <v>17142.400000000001</v>
      </c>
      <c r="E41" s="89"/>
      <c r="F41" s="89">
        <f>C41/100*19.5</f>
        <v>686.40000000000009</v>
      </c>
      <c r="G41" s="89"/>
      <c r="H41" s="89">
        <f>C41/100*23.2</f>
        <v>816.64</v>
      </c>
      <c r="I41" s="89">
        <f>C41/100*46</f>
        <v>1619.2</v>
      </c>
      <c r="J41" s="125">
        <f>C41/100*680</f>
        <v>23936.000000000004</v>
      </c>
      <c r="K41" s="89">
        <f>C41/100*0.55</f>
        <v>19.360000000000003</v>
      </c>
      <c r="L41" s="90">
        <v>3520</v>
      </c>
      <c r="M41" s="134">
        <v>260</v>
      </c>
      <c r="N41" s="87">
        <f t="shared" si="3"/>
        <v>915200</v>
      </c>
      <c r="O41" s="3"/>
      <c r="P41" s="2"/>
    </row>
    <row r="42" spans="1:20" ht="19.149999999999999" customHeight="1" x14ac:dyDescent="0.25">
      <c r="A42" s="293" t="s">
        <v>0</v>
      </c>
      <c r="B42" s="296" t="s">
        <v>19</v>
      </c>
      <c r="C42" s="296" t="s">
        <v>8</v>
      </c>
      <c r="D42" s="296" t="s">
        <v>9</v>
      </c>
      <c r="E42" s="299" t="s">
        <v>11</v>
      </c>
      <c r="F42" s="300"/>
      <c r="G42" s="299" t="s">
        <v>13</v>
      </c>
      <c r="H42" s="300"/>
      <c r="I42" s="293" t="s">
        <v>16</v>
      </c>
      <c r="J42" s="293" t="s">
        <v>41</v>
      </c>
      <c r="K42" s="293" t="s">
        <v>42</v>
      </c>
      <c r="L42" s="293" t="s">
        <v>17</v>
      </c>
      <c r="M42" s="293" t="s">
        <v>55</v>
      </c>
      <c r="N42" s="293" t="s">
        <v>18</v>
      </c>
      <c r="O42" s="158"/>
    </row>
    <row r="43" spans="1:20" ht="19.149999999999999" customHeight="1" x14ac:dyDescent="0.25">
      <c r="A43" s="294"/>
      <c r="B43" s="297"/>
      <c r="C43" s="297"/>
      <c r="D43" s="297"/>
      <c r="E43" s="301"/>
      <c r="F43" s="302"/>
      <c r="G43" s="301"/>
      <c r="H43" s="302"/>
      <c r="I43" s="303"/>
      <c r="J43" s="303"/>
      <c r="K43" s="303"/>
      <c r="L43" s="303"/>
      <c r="M43" s="303"/>
      <c r="N43" s="294"/>
      <c r="O43" s="149"/>
    </row>
    <row r="44" spans="1:20" ht="19.149999999999999" customHeight="1" x14ac:dyDescent="0.25">
      <c r="A44" s="294"/>
      <c r="B44" s="297"/>
      <c r="C44" s="297"/>
      <c r="D44" s="297"/>
      <c r="E44" s="293" t="s">
        <v>10</v>
      </c>
      <c r="F44" s="293" t="s">
        <v>12</v>
      </c>
      <c r="G44" s="293" t="s">
        <v>14</v>
      </c>
      <c r="H44" s="293" t="s">
        <v>15</v>
      </c>
      <c r="I44" s="303"/>
      <c r="J44" s="303"/>
      <c r="K44" s="303"/>
      <c r="L44" s="303"/>
      <c r="M44" s="303"/>
      <c r="N44" s="294"/>
      <c r="O44" s="149"/>
    </row>
    <row r="45" spans="1:20" ht="30.6" customHeight="1" x14ac:dyDescent="0.25">
      <c r="A45" s="295"/>
      <c r="B45" s="298"/>
      <c r="C45" s="298"/>
      <c r="D45" s="298"/>
      <c r="E45" s="304"/>
      <c r="F45" s="304"/>
      <c r="G45" s="304"/>
      <c r="H45" s="304"/>
      <c r="I45" s="304"/>
      <c r="J45" s="304"/>
      <c r="K45" s="304"/>
      <c r="L45" s="304"/>
      <c r="M45" s="304"/>
      <c r="N45" s="295"/>
      <c r="O45" s="149"/>
    </row>
    <row r="46" spans="1:20" ht="22.15" customHeight="1" x14ac:dyDescent="0.25">
      <c r="A46" s="18" t="s">
        <v>106</v>
      </c>
      <c r="B46" s="19"/>
      <c r="C46" s="29"/>
      <c r="D46" s="101">
        <f>SUM(D33:D41)</f>
        <v>47505.308000000005</v>
      </c>
      <c r="E46" s="6"/>
      <c r="F46" s="6"/>
      <c r="G46" s="6"/>
      <c r="H46" s="6"/>
      <c r="I46" s="6"/>
      <c r="J46" s="6"/>
      <c r="K46" s="6"/>
      <c r="L46" s="37"/>
      <c r="M46" s="398"/>
      <c r="N46" s="384">
        <f>SUM(N33:N41)</f>
        <v>2059535</v>
      </c>
      <c r="O46" s="3"/>
    </row>
    <row r="47" spans="1:20" ht="22.15" customHeight="1" x14ac:dyDescent="0.25">
      <c r="A47" s="18" t="s">
        <v>7</v>
      </c>
      <c r="B47" s="19"/>
      <c r="C47" s="38"/>
      <c r="D47" s="39">
        <f>D46/D10</f>
        <v>229.49424154589374</v>
      </c>
      <c r="E47" s="39"/>
      <c r="F47" s="39"/>
      <c r="G47" s="39"/>
      <c r="H47" s="39"/>
      <c r="I47" s="39"/>
      <c r="J47" s="39"/>
      <c r="K47" s="39"/>
      <c r="L47" s="37"/>
      <c r="M47" s="399"/>
      <c r="N47" s="385"/>
      <c r="O47" s="164"/>
    </row>
    <row r="48" spans="1:20" ht="22.15" customHeight="1" x14ac:dyDescent="0.25">
      <c r="A48" s="380" t="s">
        <v>52</v>
      </c>
      <c r="B48" s="306"/>
      <c r="C48" s="173" t="s">
        <v>151</v>
      </c>
      <c r="D48" s="17" t="s">
        <v>58</v>
      </c>
      <c r="E48" s="39"/>
      <c r="F48" s="39"/>
      <c r="G48" s="39"/>
      <c r="H48" s="39"/>
      <c r="I48" s="39"/>
      <c r="J48" s="40"/>
      <c r="K48" s="40"/>
      <c r="L48" s="37"/>
      <c r="M48" s="37"/>
      <c r="N48" s="150"/>
      <c r="O48" s="3"/>
    </row>
    <row r="49" spans="1:22" ht="22.15" customHeight="1" x14ac:dyDescent="0.25">
      <c r="A49" s="307"/>
      <c r="B49" s="308"/>
      <c r="C49" s="62" t="s">
        <v>60</v>
      </c>
      <c r="D49" s="17">
        <f>D47*100/1320</f>
        <v>17.385927389840436</v>
      </c>
      <c r="E49" s="39"/>
      <c r="F49" s="39"/>
      <c r="G49" s="39"/>
      <c r="H49" s="39"/>
      <c r="I49" s="39"/>
      <c r="J49" s="40"/>
      <c r="K49" s="40"/>
      <c r="L49" s="37"/>
      <c r="M49" s="37"/>
      <c r="N49" s="150"/>
      <c r="O49" s="3"/>
    </row>
    <row r="50" spans="1:22" ht="22.15" customHeight="1" x14ac:dyDescent="0.25">
      <c r="A50" s="371" t="s">
        <v>107</v>
      </c>
      <c r="B50" s="372"/>
      <c r="C50" s="375"/>
      <c r="D50" s="390">
        <f>D28+D46</f>
        <v>150053.42750000002</v>
      </c>
      <c r="E50" s="103">
        <f>SUM(E16:E41)</f>
        <v>3344.4296000000004</v>
      </c>
      <c r="F50" s="103">
        <f>SUM(F17:F41)</f>
        <v>2918.2271500000002</v>
      </c>
      <c r="G50" s="103">
        <f>SUM(G17:G41)</f>
        <v>3049.3572000000004</v>
      </c>
      <c r="H50" s="103">
        <f>SUM(H17:H41)</f>
        <v>1305.06915</v>
      </c>
      <c r="I50" s="334">
        <f>SUM(I17:I41)</f>
        <v>20781.085050000002</v>
      </c>
      <c r="J50" s="334">
        <f>SUM(J16:J41)</f>
        <v>60681.082900000009</v>
      </c>
      <c r="K50" s="367">
        <f>SUM(K16:K41)</f>
        <v>137.27115000000001</v>
      </c>
      <c r="L50" s="352"/>
      <c r="M50" s="352"/>
      <c r="N50" s="395">
        <f>N28+N46</f>
        <v>4553965</v>
      </c>
    </row>
    <row r="51" spans="1:22" ht="22.15" customHeight="1" x14ac:dyDescent="0.25">
      <c r="A51" s="373"/>
      <c r="B51" s="374"/>
      <c r="C51" s="376"/>
      <c r="D51" s="391"/>
      <c r="E51" s="365">
        <f>E50+F50</f>
        <v>6262.6567500000001</v>
      </c>
      <c r="F51" s="366"/>
      <c r="G51" s="365">
        <f>G50+H50</f>
        <v>4354.4263500000006</v>
      </c>
      <c r="H51" s="366"/>
      <c r="I51" s="336"/>
      <c r="J51" s="336"/>
      <c r="K51" s="368"/>
      <c r="L51" s="352"/>
      <c r="M51" s="352"/>
      <c r="N51" s="395"/>
    </row>
    <row r="52" spans="1:22" ht="22.15" customHeight="1" x14ac:dyDescent="0.25">
      <c r="A52" s="326" t="s">
        <v>77</v>
      </c>
      <c r="B52" s="327"/>
      <c r="C52" s="328"/>
      <c r="D52" s="112">
        <f>D50/D10</f>
        <v>724.89578502415463</v>
      </c>
      <c r="E52" s="165">
        <f>E50/D10</f>
        <v>16.156664734299518</v>
      </c>
      <c r="F52" s="178">
        <f>F50/D10</f>
        <v>14.097715700483093</v>
      </c>
      <c r="G52" s="165">
        <f>G50/D10</f>
        <v>14.731194202898553</v>
      </c>
      <c r="H52" s="175">
        <f>H50/D10</f>
        <v>6.3046818840579713</v>
      </c>
      <c r="I52" s="344">
        <f>I50/D10</f>
        <v>100.39171521739131</v>
      </c>
      <c r="J52" s="347">
        <f>J50/D10</f>
        <v>293.1453280193237</v>
      </c>
      <c r="K52" s="347">
        <f>K50/D10</f>
        <v>0.66314565217391308</v>
      </c>
      <c r="L52" s="352"/>
      <c r="M52" s="352"/>
      <c r="N52" s="395"/>
      <c r="P52" s="119"/>
      <c r="Q52" s="333"/>
      <c r="R52" s="333"/>
      <c r="S52" s="333"/>
      <c r="T52" s="333"/>
      <c r="U52" s="346"/>
      <c r="V52" s="346"/>
    </row>
    <row r="53" spans="1:22" ht="22.15" customHeight="1" x14ac:dyDescent="0.25">
      <c r="A53" s="329"/>
      <c r="B53" s="330"/>
      <c r="C53" s="331"/>
      <c r="D53" s="184"/>
      <c r="E53" s="369">
        <f>E52+F52</f>
        <v>30.254380434782611</v>
      </c>
      <c r="F53" s="370"/>
      <c r="G53" s="369">
        <f>G52+H52</f>
        <v>21.035876086956524</v>
      </c>
      <c r="H53" s="370"/>
      <c r="I53" s="345"/>
      <c r="J53" s="348"/>
      <c r="K53" s="348"/>
      <c r="L53" s="352"/>
      <c r="M53" s="352"/>
      <c r="N53" s="395"/>
      <c r="P53" s="167"/>
      <c r="Q53" s="333"/>
      <c r="R53" s="333"/>
      <c r="S53" s="333"/>
      <c r="T53" s="333"/>
      <c r="U53" s="333"/>
      <c r="V53" s="333"/>
    </row>
    <row r="54" spans="1:22" ht="22.15" customHeight="1" x14ac:dyDescent="0.25">
      <c r="A54" s="381" t="s">
        <v>80</v>
      </c>
      <c r="B54" s="382"/>
      <c r="C54" s="383"/>
      <c r="D54" s="151" t="s">
        <v>28</v>
      </c>
      <c r="E54" s="279" t="s">
        <v>21</v>
      </c>
      <c r="F54" s="279"/>
      <c r="G54" s="279" t="s">
        <v>22</v>
      </c>
      <c r="H54" s="279"/>
      <c r="I54" s="151" t="s">
        <v>23</v>
      </c>
      <c r="J54" s="148">
        <v>600</v>
      </c>
      <c r="K54" s="148">
        <v>0.7</v>
      </c>
      <c r="L54" s="352"/>
      <c r="M54" s="352"/>
      <c r="N54" s="395"/>
      <c r="O54" s="169"/>
      <c r="P54" s="119"/>
      <c r="Q54" s="155"/>
      <c r="R54" s="155"/>
      <c r="S54" s="155"/>
      <c r="T54" s="155"/>
      <c r="U54" s="119"/>
      <c r="V54" s="119"/>
    </row>
    <row r="55" spans="1:22" ht="22.15" customHeight="1" x14ac:dyDescent="0.25">
      <c r="A55" s="271" t="s">
        <v>78</v>
      </c>
      <c r="B55" s="332"/>
      <c r="C55" s="272"/>
      <c r="D55" s="41"/>
      <c r="E55" s="359">
        <f>E53*4.1</f>
        <v>124.04295978260869</v>
      </c>
      <c r="F55" s="360"/>
      <c r="G55" s="359">
        <f>G53*9</f>
        <v>189.32288478260872</v>
      </c>
      <c r="H55" s="360"/>
      <c r="I55" s="69">
        <f>I52*4.1</f>
        <v>411.60603239130432</v>
      </c>
      <c r="J55" s="337"/>
      <c r="K55" s="337"/>
      <c r="L55" s="352"/>
      <c r="M55" s="352"/>
      <c r="N55" s="395"/>
      <c r="O55" s="169"/>
      <c r="P55" s="170"/>
      <c r="Q55" s="119"/>
      <c r="R55" s="119"/>
      <c r="S55" s="119"/>
      <c r="T55" s="119"/>
      <c r="U55" s="119"/>
      <c r="V55" s="119"/>
    </row>
    <row r="56" spans="1:22" ht="22.15" customHeight="1" x14ac:dyDescent="0.25">
      <c r="A56" s="361" t="s">
        <v>81</v>
      </c>
      <c r="B56" s="362"/>
      <c r="C56" s="271" t="s">
        <v>59</v>
      </c>
      <c r="D56" s="272"/>
      <c r="E56" s="273">
        <f>E55*100/D52</f>
        <v>17.111833500104485</v>
      </c>
      <c r="F56" s="274"/>
      <c r="G56" s="273">
        <f>G55*100/D52</f>
        <v>26.117255568853967</v>
      </c>
      <c r="H56" s="274"/>
      <c r="I56" s="95">
        <f>I55*100/D52</f>
        <v>56.78140787887034</v>
      </c>
      <c r="J56" s="338"/>
      <c r="K56" s="338"/>
      <c r="L56" s="352"/>
      <c r="M56" s="352"/>
      <c r="N56" s="395"/>
      <c r="O56" s="169"/>
    </row>
    <row r="57" spans="1:22" ht="22.15" customHeight="1" x14ac:dyDescent="0.25">
      <c r="A57" s="363"/>
      <c r="B57" s="364"/>
      <c r="C57" s="271" t="s">
        <v>79</v>
      </c>
      <c r="D57" s="272"/>
      <c r="E57" s="271" t="s">
        <v>82</v>
      </c>
      <c r="F57" s="272"/>
      <c r="G57" s="271" t="s">
        <v>83</v>
      </c>
      <c r="H57" s="272"/>
      <c r="I57" s="151" t="s">
        <v>84</v>
      </c>
      <c r="J57" s="339"/>
      <c r="K57" s="339"/>
      <c r="L57" s="352"/>
      <c r="M57" s="352"/>
      <c r="N57" s="395"/>
      <c r="O57" s="169"/>
      <c r="P57" s="2"/>
    </row>
    <row r="58" spans="1:22" ht="22.15" customHeight="1" x14ac:dyDescent="0.25">
      <c r="A58" s="73"/>
      <c r="B58" s="76"/>
      <c r="C58" s="73"/>
      <c r="D58" s="73"/>
      <c r="E58" s="73"/>
      <c r="F58" s="73"/>
      <c r="G58" s="73"/>
      <c r="H58" s="73"/>
      <c r="I58" s="73"/>
      <c r="J58" s="73"/>
      <c r="K58" s="73"/>
      <c r="L58" s="74"/>
      <c r="M58" s="74"/>
      <c r="N58" s="75"/>
      <c r="O58" s="169"/>
    </row>
    <row r="59" spans="1:22" ht="21" customHeight="1" x14ac:dyDescent="0.25">
      <c r="A59" s="265" t="s">
        <v>114</v>
      </c>
      <c r="B59" s="265"/>
      <c r="C59" s="265"/>
      <c r="D59" s="265"/>
      <c r="E59" s="265"/>
      <c r="F59" s="265"/>
      <c r="G59" s="265"/>
      <c r="H59" s="265"/>
      <c r="I59" s="265"/>
      <c r="J59" s="265"/>
      <c r="K59" s="265"/>
      <c r="L59" s="265"/>
      <c r="M59" s="265"/>
      <c r="N59" s="265"/>
      <c r="O59" s="169"/>
    </row>
    <row r="60" spans="1:22" ht="21" customHeight="1" x14ac:dyDescent="0.25">
      <c r="A60" s="97" t="s">
        <v>115</v>
      </c>
      <c r="B60" s="266" t="s">
        <v>125</v>
      </c>
      <c r="C60" s="266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169"/>
    </row>
    <row r="61" spans="1:22" ht="21" customHeight="1" x14ac:dyDescent="0.25">
      <c r="A61" s="98"/>
      <c r="B61" s="267" t="s">
        <v>207</v>
      </c>
      <c r="C61" s="267"/>
      <c r="D61" s="267"/>
      <c r="E61" s="267"/>
      <c r="F61" s="267"/>
      <c r="G61" s="267"/>
      <c r="H61" s="267"/>
      <c r="I61" s="267"/>
      <c r="J61" s="267"/>
      <c r="K61" s="267"/>
      <c r="L61" s="267"/>
      <c r="M61" s="267"/>
      <c r="N61" s="267"/>
      <c r="O61" s="169"/>
    </row>
    <row r="62" spans="1:22" ht="21" customHeight="1" x14ac:dyDescent="0.25">
      <c r="A62" s="98"/>
      <c r="B62" s="267" t="s">
        <v>188</v>
      </c>
      <c r="C62" s="267"/>
      <c r="D62" s="267"/>
      <c r="E62" s="267"/>
      <c r="F62" s="267"/>
      <c r="G62" s="267"/>
      <c r="H62" s="267"/>
      <c r="I62" s="267"/>
      <c r="J62" s="267"/>
      <c r="K62" s="267"/>
      <c r="L62" s="267"/>
      <c r="M62" s="267"/>
      <c r="N62" s="267"/>
      <c r="O62" s="169"/>
    </row>
    <row r="63" spans="1:22" ht="21" customHeight="1" x14ac:dyDescent="0.25">
      <c r="A63" s="98"/>
      <c r="B63" s="267" t="s">
        <v>208</v>
      </c>
      <c r="C63" s="267"/>
      <c r="D63" s="267"/>
      <c r="E63" s="267"/>
      <c r="F63" s="267"/>
      <c r="G63" s="267"/>
      <c r="H63" s="267"/>
      <c r="I63" s="267"/>
      <c r="J63" s="267"/>
      <c r="K63" s="267"/>
      <c r="L63" s="267"/>
      <c r="M63" s="267"/>
      <c r="N63" s="267"/>
      <c r="O63" s="169"/>
    </row>
    <row r="64" spans="1:22" ht="21" customHeight="1" x14ac:dyDescent="0.25">
      <c r="A64" s="73"/>
      <c r="B64" s="268" t="s">
        <v>117</v>
      </c>
      <c r="C64" s="268"/>
      <c r="D64" s="268"/>
      <c r="E64" s="268"/>
      <c r="F64" s="268"/>
      <c r="G64" s="268"/>
      <c r="H64" s="268"/>
      <c r="I64" s="268"/>
      <c r="J64" s="268"/>
      <c r="K64" s="268"/>
      <c r="L64" s="268"/>
      <c r="M64" s="268"/>
      <c r="N64" s="268"/>
      <c r="O64" s="169"/>
    </row>
    <row r="65" spans="1:19" ht="21" customHeight="1" x14ac:dyDescent="0.25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7"/>
      <c r="M65" s="77"/>
      <c r="N65" s="78"/>
      <c r="O65" s="169"/>
    </row>
    <row r="66" spans="1:19" ht="21" customHeight="1" x14ac:dyDescent="0.25">
      <c r="A66" s="269" t="s">
        <v>62</v>
      </c>
      <c r="B66" s="269"/>
      <c r="C66" s="269"/>
      <c r="D66" s="269"/>
      <c r="E66" s="171"/>
      <c r="F66" s="171"/>
      <c r="G66" s="171"/>
      <c r="H66" s="171"/>
      <c r="I66" s="171"/>
      <c r="J66" s="270" t="s">
        <v>33</v>
      </c>
      <c r="K66" s="270"/>
      <c r="L66" s="270"/>
      <c r="M66" s="270"/>
      <c r="N66" s="270"/>
      <c r="O66" s="169"/>
    </row>
    <row r="67" spans="1:19" ht="21" customHeight="1" x14ac:dyDescent="0.25">
      <c r="A67" s="149"/>
      <c r="B67" s="149"/>
      <c r="C67" s="149"/>
      <c r="D67" s="171"/>
      <c r="E67" s="171"/>
      <c r="F67" s="171"/>
      <c r="G67" s="171"/>
      <c r="H67" s="172"/>
      <c r="I67" s="172"/>
      <c r="J67" s="172"/>
      <c r="K67" s="172"/>
      <c r="L67" s="172"/>
      <c r="M67" s="172"/>
      <c r="N67" s="172"/>
      <c r="O67" s="169"/>
    </row>
    <row r="68" spans="1:19" ht="21" customHeight="1" x14ac:dyDescent="0.25">
      <c r="A68" s="149"/>
      <c r="B68" s="149"/>
      <c r="C68" s="149"/>
      <c r="D68" s="171"/>
      <c r="E68" s="171"/>
      <c r="F68" s="171"/>
      <c r="G68" s="171"/>
      <c r="H68" s="172"/>
      <c r="I68" s="172"/>
      <c r="J68" s="172"/>
      <c r="K68" s="172"/>
      <c r="L68" s="172"/>
      <c r="M68" s="172"/>
      <c r="N68" s="172"/>
      <c r="O68" s="169"/>
    </row>
    <row r="69" spans="1:19" ht="21" customHeight="1" x14ac:dyDescent="0.25">
      <c r="A69" s="149"/>
      <c r="B69" s="149"/>
      <c r="C69" s="149"/>
      <c r="D69" s="171"/>
      <c r="E69" s="171"/>
      <c r="F69" s="171"/>
      <c r="G69" s="171"/>
      <c r="H69" s="172"/>
      <c r="I69" s="172"/>
      <c r="J69" s="261" t="s">
        <v>124</v>
      </c>
      <c r="K69" s="261"/>
      <c r="L69" s="261"/>
      <c r="M69" s="261"/>
      <c r="N69" s="261"/>
      <c r="O69" s="169"/>
    </row>
    <row r="70" spans="1:19" ht="22.15" customHeight="1" x14ac:dyDescent="0.25">
      <c r="A70" s="260" t="s">
        <v>91</v>
      </c>
      <c r="B70" s="260"/>
      <c r="C70" s="260"/>
      <c r="D70" s="260"/>
      <c r="E70" s="171"/>
      <c r="F70" s="171"/>
      <c r="G70" s="171"/>
      <c r="H70" s="172"/>
      <c r="I70" s="172"/>
      <c r="J70" s="261"/>
      <c r="K70" s="261"/>
      <c r="L70" s="261"/>
      <c r="M70" s="261"/>
      <c r="N70" s="261"/>
      <c r="O70" s="169"/>
    </row>
    <row r="71" spans="1:19" ht="22.15" customHeight="1" x14ac:dyDescent="0.2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7"/>
      <c r="M71" s="77"/>
      <c r="N71" s="78"/>
      <c r="O71" s="169"/>
    </row>
    <row r="72" spans="1:19" ht="22.15" customHeight="1" x14ac:dyDescent="0.25">
      <c r="A72" s="73"/>
      <c r="B72" s="73"/>
      <c r="C72" s="73"/>
      <c r="D72" s="73"/>
      <c r="E72" s="73"/>
      <c r="F72" s="73"/>
      <c r="G72" s="73"/>
      <c r="H72" s="73"/>
      <c r="I72" s="73"/>
      <c r="J72" s="261" t="s">
        <v>127</v>
      </c>
      <c r="K72" s="261"/>
      <c r="L72" s="261"/>
      <c r="M72" s="261"/>
      <c r="N72" s="261"/>
      <c r="O72" s="169"/>
    </row>
    <row r="73" spans="1:19" ht="22.15" customHeight="1" x14ac:dyDescent="0.25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7"/>
      <c r="M73" s="77"/>
      <c r="N73" s="78"/>
      <c r="O73" s="169"/>
    </row>
    <row r="74" spans="1:19" ht="22.15" customHeight="1" x14ac:dyDescent="0.25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7"/>
      <c r="M74" s="77"/>
      <c r="N74" s="78"/>
      <c r="O74" s="169"/>
    </row>
    <row r="75" spans="1:19" ht="22.15" customHeight="1" x14ac:dyDescent="0.25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7"/>
      <c r="M75" s="77"/>
      <c r="N75" s="78"/>
      <c r="O75" s="169"/>
    </row>
    <row r="76" spans="1:19" ht="22.15" customHeight="1" x14ac:dyDescent="0.25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7"/>
      <c r="M76" s="77"/>
      <c r="N76" s="78"/>
      <c r="O76" s="169"/>
    </row>
    <row r="77" spans="1:19" ht="22.15" customHeight="1" x14ac:dyDescent="0.25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7"/>
      <c r="M77" s="77"/>
      <c r="N77" s="78"/>
      <c r="O77" s="169"/>
    </row>
    <row r="78" spans="1:19" ht="22.15" customHeight="1" x14ac:dyDescent="0.25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7"/>
      <c r="M78" s="77"/>
      <c r="N78" s="78"/>
      <c r="O78" s="169"/>
    </row>
    <row r="79" spans="1:19" ht="22.15" customHeight="1" x14ac:dyDescent="0.2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7"/>
      <c r="M79" s="77"/>
      <c r="N79" s="78"/>
      <c r="O79" s="169"/>
    </row>
    <row r="80" spans="1:19" ht="17.45" customHeight="1" x14ac:dyDescent="0.3">
      <c r="A80" s="10" t="s">
        <v>61</v>
      </c>
      <c r="B80" s="7"/>
      <c r="C80" s="7"/>
      <c r="D80" s="7"/>
      <c r="E80" s="7"/>
      <c r="F80" s="378" t="s">
        <v>32</v>
      </c>
      <c r="G80" s="378"/>
      <c r="H80" s="378"/>
      <c r="I80" s="378"/>
      <c r="J80" s="378"/>
      <c r="K80" s="378"/>
      <c r="L80" s="378"/>
      <c r="M80" s="378"/>
      <c r="N80" s="378"/>
      <c r="O80" s="156"/>
      <c r="P80" s="185"/>
      <c r="Q80" s="185"/>
      <c r="R80" s="119"/>
      <c r="S80" s="119"/>
    </row>
    <row r="81" spans="1:18" ht="17.45" customHeight="1" x14ac:dyDescent="0.3">
      <c r="A81" s="7" t="s">
        <v>206</v>
      </c>
      <c r="B81" s="7"/>
      <c r="C81" s="7"/>
      <c r="D81" s="7"/>
      <c r="E81" s="7"/>
      <c r="F81" s="154"/>
      <c r="G81" s="154"/>
      <c r="H81" s="154"/>
      <c r="I81" s="154"/>
      <c r="J81" s="154"/>
      <c r="K81" s="154"/>
      <c r="L81" s="154"/>
      <c r="M81" s="154"/>
      <c r="N81" s="154"/>
      <c r="O81" s="156"/>
      <c r="P81" s="156"/>
    </row>
    <row r="82" spans="1:18" ht="17.45" customHeight="1" x14ac:dyDescent="0.25">
      <c r="A82" s="279" t="s">
        <v>97</v>
      </c>
      <c r="B82" s="279"/>
      <c r="C82" s="279"/>
      <c r="D82" s="279"/>
      <c r="E82" s="279" t="s">
        <v>89</v>
      </c>
      <c r="F82" s="279"/>
      <c r="G82" s="279"/>
      <c r="H82" s="279"/>
      <c r="I82" s="279"/>
      <c r="J82" s="279"/>
      <c r="K82" s="279"/>
      <c r="L82" s="279"/>
      <c r="M82" s="279"/>
      <c r="N82" s="279"/>
      <c r="O82" s="157"/>
    </row>
    <row r="83" spans="1:18" ht="17.45" customHeight="1" x14ac:dyDescent="0.25">
      <c r="A83" s="279"/>
      <c r="B83" s="279"/>
      <c r="C83" s="279"/>
      <c r="D83" s="279"/>
      <c r="E83" s="279" t="s">
        <v>100</v>
      </c>
      <c r="F83" s="279"/>
      <c r="G83" s="279"/>
      <c r="H83" s="279"/>
      <c r="I83" s="279"/>
      <c r="J83" s="279" t="s">
        <v>101</v>
      </c>
      <c r="K83" s="279"/>
      <c r="L83" s="279"/>
      <c r="M83" s="279"/>
      <c r="N83" s="279"/>
      <c r="O83" s="157"/>
    </row>
    <row r="84" spans="1:18" ht="17.45" customHeight="1" x14ac:dyDescent="0.25">
      <c r="A84" s="280" t="s">
        <v>90</v>
      </c>
      <c r="B84" s="280"/>
      <c r="C84" s="280"/>
      <c r="D84" s="280"/>
      <c r="E84" s="283" t="s">
        <v>148</v>
      </c>
      <c r="F84" s="283"/>
      <c r="G84" s="283"/>
      <c r="H84" s="283"/>
      <c r="I84" s="283"/>
      <c r="J84" s="280" t="s">
        <v>90</v>
      </c>
      <c r="K84" s="280"/>
      <c r="L84" s="280"/>
      <c r="M84" s="280"/>
      <c r="N84" s="280"/>
      <c r="O84" s="157"/>
    </row>
    <row r="85" spans="1:18" ht="17.45" customHeight="1" x14ac:dyDescent="0.25">
      <c r="A85" s="403" t="s">
        <v>158</v>
      </c>
      <c r="B85" s="404"/>
      <c r="C85" s="404"/>
      <c r="D85" s="405"/>
      <c r="E85" s="283"/>
      <c r="F85" s="283"/>
      <c r="G85" s="283"/>
      <c r="H85" s="283"/>
      <c r="I85" s="283"/>
      <c r="J85" s="281" t="s">
        <v>102</v>
      </c>
      <c r="K85" s="281"/>
      <c r="L85" s="281"/>
      <c r="M85" s="281"/>
      <c r="N85" s="281"/>
      <c r="O85" s="157"/>
    </row>
    <row r="86" spans="1:18" ht="17.45" customHeight="1" x14ac:dyDescent="0.25">
      <c r="A86" s="282" t="s">
        <v>186</v>
      </c>
      <c r="B86" s="282"/>
      <c r="C86" s="282"/>
      <c r="D86" s="282"/>
      <c r="E86" s="283"/>
      <c r="F86" s="283"/>
      <c r="G86" s="283"/>
      <c r="H86" s="283"/>
      <c r="I86" s="283"/>
      <c r="J86" s="282" t="s">
        <v>166</v>
      </c>
      <c r="K86" s="282"/>
      <c r="L86" s="282"/>
      <c r="M86" s="282"/>
      <c r="N86" s="282"/>
      <c r="O86" s="282"/>
      <c r="P86" s="282"/>
      <c r="Q86" s="282"/>
      <c r="R86" s="282"/>
    </row>
    <row r="87" spans="1:18" ht="17.45" customHeight="1" x14ac:dyDescent="0.3">
      <c r="A87" s="309" t="s">
        <v>122</v>
      </c>
      <c r="B87" s="310"/>
      <c r="C87" s="311"/>
      <c r="D87" s="108">
        <v>54</v>
      </c>
      <c r="E87" s="7"/>
      <c r="F87" s="154"/>
      <c r="G87" s="154"/>
      <c r="H87" s="154"/>
      <c r="I87" s="154"/>
      <c r="J87" s="154"/>
      <c r="K87" s="154"/>
      <c r="L87" s="154"/>
      <c r="M87" s="154"/>
      <c r="N87" s="154"/>
      <c r="O87" s="156"/>
      <c r="P87" s="156"/>
    </row>
    <row r="88" spans="1:18" ht="17.45" customHeight="1" x14ac:dyDescent="0.25">
      <c r="A88" s="293" t="s">
        <v>0</v>
      </c>
      <c r="B88" s="296" t="s">
        <v>19</v>
      </c>
      <c r="C88" s="296" t="s">
        <v>8</v>
      </c>
      <c r="D88" s="296" t="s">
        <v>9</v>
      </c>
      <c r="E88" s="299" t="s">
        <v>11</v>
      </c>
      <c r="F88" s="300"/>
      <c r="G88" s="299" t="s">
        <v>13</v>
      </c>
      <c r="H88" s="300"/>
      <c r="I88" s="293" t="s">
        <v>16</v>
      </c>
      <c r="J88" s="293" t="s">
        <v>41</v>
      </c>
      <c r="K88" s="293" t="s">
        <v>42</v>
      </c>
      <c r="L88" s="293" t="s">
        <v>17</v>
      </c>
      <c r="M88" s="293" t="s">
        <v>55</v>
      </c>
      <c r="N88" s="293" t="s">
        <v>18</v>
      </c>
      <c r="O88" s="158"/>
    </row>
    <row r="89" spans="1:18" ht="17.45" customHeight="1" x14ac:dyDescent="0.25">
      <c r="A89" s="294"/>
      <c r="B89" s="297"/>
      <c r="C89" s="297"/>
      <c r="D89" s="297"/>
      <c r="E89" s="301"/>
      <c r="F89" s="302"/>
      <c r="G89" s="301"/>
      <c r="H89" s="302"/>
      <c r="I89" s="303"/>
      <c r="J89" s="303"/>
      <c r="K89" s="303"/>
      <c r="L89" s="303"/>
      <c r="M89" s="303"/>
      <c r="N89" s="294"/>
      <c r="O89" s="149"/>
    </row>
    <row r="90" spans="1:18" ht="17.45" customHeight="1" x14ac:dyDescent="0.25">
      <c r="A90" s="294"/>
      <c r="B90" s="297"/>
      <c r="C90" s="297"/>
      <c r="D90" s="297"/>
      <c r="E90" s="293" t="s">
        <v>10</v>
      </c>
      <c r="F90" s="293" t="s">
        <v>12</v>
      </c>
      <c r="G90" s="293" t="s">
        <v>14</v>
      </c>
      <c r="H90" s="293" t="s">
        <v>15</v>
      </c>
      <c r="I90" s="303"/>
      <c r="J90" s="303"/>
      <c r="K90" s="303"/>
      <c r="L90" s="303"/>
      <c r="M90" s="303"/>
      <c r="N90" s="294"/>
      <c r="O90" s="149"/>
    </row>
    <row r="91" spans="1:18" ht="17.45" customHeight="1" x14ac:dyDescent="0.25">
      <c r="A91" s="295"/>
      <c r="B91" s="298"/>
      <c r="C91" s="298"/>
      <c r="D91" s="298"/>
      <c r="E91" s="304"/>
      <c r="F91" s="304"/>
      <c r="G91" s="304"/>
      <c r="H91" s="304"/>
      <c r="I91" s="304"/>
      <c r="J91" s="304"/>
      <c r="K91" s="304"/>
      <c r="L91" s="304"/>
      <c r="M91" s="304"/>
      <c r="N91" s="295"/>
      <c r="O91" s="149"/>
    </row>
    <row r="92" spans="1:18" ht="18.600000000000001" customHeight="1" x14ac:dyDescent="0.25">
      <c r="A92" s="318" t="s">
        <v>39</v>
      </c>
      <c r="B92" s="319"/>
      <c r="C92" s="319"/>
      <c r="D92" s="319"/>
      <c r="E92" s="319"/>
      <c r="F92" s="319"/>
      <c r="G92" s="319"/>
      <c r="H92" s="319"/>
      <c r="I92" s="319"/>
      <c r="J92" s="319"/>
      <c r="K92" s="319"/>
      <c r="L92" s="319"/>
      <c r="M92" s="319"/>
      <c r="N92" s="320"/>
      <c r="O92" s="149"/>
    </row>
    <row r="93" spans="1:18" ht="18.600000000000001" customHeight="1" x14ac:dyDescent="0.25">
      <c r="A93" s="8">
        <v>1</v>
      </c>
      <c r="B93" s="9" t="s">
        <v>2</v>
      </c>
      <c r="C93" s="20">
        <f>L93/100*100</f>
        <v>70</v>
      </c>
      <c r="D93" s="21">
        <f>C93/100*60</f>
        <v>42</v>
      </c>
      <c r="E93" s="22">
        <f>C93/100*15</f>
        <v>10.5</v>
      </c>
      <c r="F93" s="22"/>
      <c r="G93" s="22"/>
      <c r="H93" s="22"/>
      <c r="I93" s="22"/>
      <c r="J93" s="24">
        <f>C93/100*387</f>
        <v>270.89999999999998</v>
      </c>
      <c r="K93" s="24">
        <f>C93/100*0.09</f>
        <v>6.3E-2</v>
      </c>
      <c r="L93" s="116">
        <v>70</v>
      </c>
      <c r="M93" s="61">
        <v>20</v>
      </c>
      <c r="N93" s="20">
        <f>L93*M93</f>
        <v>1400</v>
      </c>
      <c r="O93" s="3"/>
    </row>
    <row r="94" spans="1:18" ht="18.600000000000001" customHeight="1" x14ac:dyDescent="0.25">
      <c r="A94" s="8">
        <v>2</v>
      </c>
      <c r="B94" s="126" t="s">
        <v>141</v>
      </c>
      <c r="C94" s="20">
        <f>L94/100*100</f>
        <v>280</v>
      </c>
      <c r="D94" s="21">
        <f>C94/100*899</f>
        <v>2517.1999999999998</v>
      </c>
      <c r="E94" s="22"/>
      <c r="F94" s="22"/>
      <c r="G94" s="22">
        <f>C94/100*100</f>
        <v>280</v>
      </c>
      <c r="H94" s="22"/>
      <c r="I94" s="22"/>
      <c r="J94" s="22"/>
      <c r="K94" s="22"/>
      <c r="L94" s="116">
        <v>280</v>
      </c>
      <c r="M94" s="21">
        <v>68</v>
      </c>
      <c r="N94" s="20">
        <f t="shared" ref="N94:N103" si="4">L94*M94</f>
        <v>19040</v>
      </c>
      <c r="O94" s="160"/>
    </row>
    <row r="95" spans="1:18" ht="18.600000000000001" customHeight="1" x14ac:dyDescent="0.25">
      <c r="A95" s="8">
        <v>3</v>
      </c>
      <c r="B95" s="126" t="s">
        <v>146</v>
      </c>
      <c r="C95" s="20">
        <f>L95/100*100</f>
        <v>130</v>
      </c>
      <c r="D95" s="100">
        <f>C95/100*900</f>
        <v>1170</v>
      </c>
      <c r="E95" s="22"/>
      <c r="F95" s="22"/>
      <c r="G95" s="99"/>
      <c r="H95" s="22">
        <f>C95/100*100</f>
        <v>130</v>
      </c>
      <c r="I95" s="22"/>
      <c r="J95" s="22"/>
      <c r="K95" s="22"/>
      <c r="L95" s="116">
        <v>130</v>
      </c>
      <c r="M95" s="61">
        <v>63.5</v>
      </c>
      <c r="N95" s="20">
        <f t="shared" si="4"/>
        <v>8255</v>
      </c>
      <c r="O95" s="160"/>
    </row>
    <row r="96" spans="1:18" ht="18.600000000000001" customHeight="1" x14ac:dyDescent="0.25">
      <c r="A96" s="8">
        <v>3</v>
      </c>
      <c r="B96" s="127" t="s">
        <v>1</v>
      </c>
      <c r="C96" s="20">
        <f>L96/100*100</f>
        <v>2322</v>
      </c>
      <c r="D96" s="100">
        <f>C96/100*352.9</f>
        <v>8194.3379999999997</v>
      </c>
      <c r="E96" s="22"/>
      <c r="F96" s="99">
        <f>C96/100*7.9</f>
        <v>183.43799999999999</v>
      </c>
      <c r="G96" s="22"/>
      <c r="H96" s="22">
        <f>C96/100*1</f>
        <v>23.22</v>
      </c>
      <c r="I96" s="99">
        <f>C96/100*75.9</f>
        <v>1762.3980000000001</v>
      </c>
      <c r="J96" s="24">
        <f>C96/100*30</f>
        <v>696.59999999999991</v>
      </c>
      <c r="K96" s="24">
        <f>C96/100*0.1</f>
        <v>2.3220000000000001</v>
      </c>
      <c r="L96" s="182">
        <v>2322</v>
      </c>
      <c r="M96" s="61">
        <v>18</v>
      </c>
      <c r="N96" s="20">
        <f t="shared" si="4"/>
        <v>41796</v>
      </c>
      <c r="O96" s="3"/>
    </row>
    <row r="97" spans="1:20" ht="18.600000000000001" customHeight="1" x14ac:dyDescent="0.25">
      <c r="A97" s="8">
        <v>4</v>
      </c>
      <c r="B97" s="126" t="s">
        <v>5</v>
      </c>
      <c r="C97" s="20">
        <f>L97/100*90</f>
        <v>11.700000000000001</v>
      </c>
      <c r="D97" s="21">
        <f>C97/100*281</f>
        <v>32.877000000000002</v>
      </c>
      <c r="E97" s="22"/>
      <c r="F97" s="22">
        <f>C97/100*9.5</f>
        <v>1.1115000000000002</v>
      </c>
      <c r="G97" s="22"/>
      <c r="H97" s="22">
        <f>C97/100*0.2</f>
        <v>2.3400000000000004E-2</v>
      </c>
      <c r="I97" s="22">
        <f>C97/100*58.5</f>
        <v>6.8445</v>
      </c>
      <c r="J97" s="24">
        <f>C97/100*321.3</f>
        <v>37.592100000000002</v>
      </c>
      <c r="K97" s="24">
        <f>C97/100*0.14</f>
        <v>1.6380000000000002E-2</v>
      </c>
      <c r="L97" s="116">
        <v>13</v>
      </c>
      <c r="M97" s="61">
        <v>120</v>
      </c>
      <c r="N97" s="20">
        <f t="shared" si="4"/>
        <v>1560</v>
      </c>
      <c r="O97" s="3"/>
    </row>
    <row r="98" spans="1:20" ht="18.600000000000001" customHeight="1" x14ac:dyDescent="0.25">
      <c r="A98" s="8">
        <v>5</v>
      </c>
      <c r="B98" s="126" t="s">
        <v>70</v>
      </c>
      <c r="C98" s="20">
        <f>L98/100*90</f>
        <v>13.5</v>
      </c>
      <c r="D98" s="21">
        <f>C98/100*253</f>
        <v>34.155000000000001</v>
      </c>
      <c r="E98" s="22"/>
      <c r="F98" s="22">
        <f>C98/100*32.4</f>
        <v>4.3739999999999997</v>
      </c>
      <c r="G98" s="22"/>
      <c r="H98" s="22">
        <f>C98/100*3.6</f>
        <v>0.48600000000000004</v>
      </c>
      <c r="I98" s="22">
        <f>C98/100*21.1</f>
        <v>2.8485000000000005</v>
      </c>
      <c r="J98" s="24">
        <f>C98/100*165.6</f>
        <v>22.356000000000002</v>
      </c>
      <c r="K98" s="24">
        <f>C98/100*0.14</f>
        <v>1.8900000000000004E-2</v>
      </c>
      <c r="L98" s="116">
        <v>15</v>
      </c>
      <c r="M98" s="61">
        <v>275</v>
      </c>
      <c r="N98" s="20">
        <f t="shared" si="4"/>
        <v>4125</v>
      </c>
      <c r="O98" s="3"/>
    </row>
    <row r="99" spans="1:20" ht="18.600000000000001" customHeight="1" x14ac:dyDescent="0.25">
      <c r="A99" s="8">
        <v>7</v>
      </c>
      <c r="B99" s="127" t="s">
        <v>63</v>
      </c>
      <c r="C99" s="20">
        <f>L99/100*86</f>
        <v>610.6</v>
      </c>
      <c r="D99" s="21">
        <f>C99/100*166</f>
        <v>1013.596</v>
      </c>
      <c r="E99" s="22">
        <f>C99/100*14.8</f>
        <v>90.368800000000007</v>
      </c>
      <c r="F99" s="22"/>
      <c r="G99" s="22">
        <f>C99/100*11.6</f>
        <v>70.829599999999999</v>
      </c>
      <c r="H99" s="22"/>
      <c r="I99" s="22">
        <f>C99/100*0.5</f>
        <v>3.0529999999999999</v>
      </c>
      <c r="J99" s="24">
        <f>C99/100*55</f>
        <v>335.83</v>
      </c>
      <c r="K99" s="24">
        <f>C99/100*0.16</f>
        <v>0.97696000000000005</v>
      </c>
      <c r="L99" s="116">
        <v>710</v>
      </c>
      <c r="M99" s="61">
        <v>62</v>
      </c>
      <c r="N99" s="20">
        <f t="shared" si="4"/>
        <v>44020</v>
      </c>
      <c r="O99" s="3"/>
      <c r="Q99" s="2"/>
      <c r="R99" s="2"/>
      <c r="S99" s="3"/>
    </row>
    <row r="100" spans="1:20" ht="18.600000000000001" customHeight="1" x14ac:dyDescent="0.25">
      <c r="A100" s="8">
        <v>8</v>
      </c>
      <c r="B100" s="126" t="s">
        <v>71</v>
      </c>
      <c r="C100" s="20">
        <f>L100/100*98</f>
        <v>1372</v>
      </c>
      <c r="D100" s="21">
        <f>C100/100*139</f>
        <v>1907.0800000000002</v>
      </c>
      <c r="E100" s="22">
        <f>C100/100*19</f>
        <v>260.68</v>
      </c>
      <c r="F100" s="22"/>
      <c r="G100" s="22">
        <f>C100/100*7</f>
        <v>96.04</v>
      </c>
      <c r="H100" s="22"/>
      <c r="I100" s="22"/>
      <c r="J100" s="24">
        <f>C100/100*7</f>
        <v>96.04</v>
      </c>
      <c r="K100" s="24">
        <f>C100/100*0.9</f>
        <v>12.348000000000001</v>
      </c>
      <c r="L100" s="116">
        <v>1400</v>
      </c>
      <c r="M100" s="61">
        <v>130</v>
      </c>
      <c r="N100" s="20">
        <f t="shared" si="4"/>
        <v>182000</v>
      </c>
      <c r="O100" s="3"/>
    </row>
    <row r="101" spans="1:20" ht="18.600000000000001" customHeight="1" x14ac:dyDescent="0.25">
      <c r="A101" s="8">
        <v>9</v>
      </c>
      <c r="B101" s="127" t="s">
        <v>96</v>
      </c>
      <c r="C101" s="20">
        <f>L101/100*90</f>
        <v>405</v>
      </c>
      <c r="D101" s="21">
        <f>C101/100*90</f>
        <v>364.5</v>
      </c>
      <c r="E101" s="22">
        <f>C101/100*18.4</f>
        <v>74.52</v>
      </c>
      <c r="F101" s="22"/>
      <c r="G101" s="22">
        <f>C101/100*1.8</f>
        <v>7.29</v>
      </c>
      <c r="H101" s="22"/>
      <c r="I101" s="22"/>
      <c r="J101" s="66">
        <f>C101/100*1120</f>
        <v>4536</v>
      </c>
      <c r="K101" s="24">
        <f>C101/100*0.02</f>
        <v>8.1000000000000003E-2</v>
      </c>
      <c r="L101" s="116">
        <v>450</v>
      </c>
      <c r="M101" s="23">
        <v>250</v>
      </c>
      <c r="N101" s="104">
        <f t="shared" si="4"/>
        <v>112500</v>
      </c>
      <c r="O101" s="3"/>
      <c r="Q101" s="2"/>
      <c r="R101" s="2"/>
      <c r="S101" s="3"/>
    </row>
    <row r="102" spans="1:20" ht="18" customHeight="1" x14ac:dyDescent="0.25">
      <c r="A102" s="8">
        <v>10</v>
      </c>
      <c r="B102" s="4" t="s">
        <v>181</v>
      </c>
      <c r="C102" s="20">
        <f>L102/100*90</f>
        <v>1314</v>
      </c>
      <c r="D102" s="21">
        <f>C102/100*29</f>
        <v>381.06</v>
      </c>
      <c r="E102" s="22"/>
      <c r="F102" s="22">
        <f>C102/100*1.8</f>
        <v>23.652000000000001</v>
      </c>
      <c r="G102" s="22"/>
      <c r="H102" s="22">
        <f>C102/100*0.1</f>
        <v>1.3140000000000001</v>
      </c>
      <c r="I102" s="22">
        <f>C102/100*5.3</f>
        <v>69.641999999999996</v>
      </c>
      <c r="J102" s="22">
        <f>C102/100*48</f>
        <v>630.72</v>
      </c>
      <c r="K102" s="22">
        <f>C102/100*0.05</f>
        <v>0.65700000000000003</v>
      </c>
      <c r="L102" s="116">
        <v>1460</v>
      </c>
      <c r="M102" s="61">
        <v>15</v>
      </c>
      <c r="N102" s="20">
        <f t="shared" si="4"/>
        <v>21900</v>
      </c>
      <c r="O102" s="3"/>
    </row>
    <row r="103" spans="1:20" ht="18.600000000000001" customHeight="1" x14ac:dyDescent="0.25">
      <c r="A103" s="8">
        <v>11</v>
      </c>
      <c r="B103" s="4" t="s">
        <v>136</v>
      </c>
      <c r="C103" s="20">
        <f>L103/100*100</f>
        <v>40</v>
      </c>
      <c r="D103" s="21">
        <f>C103/100*247</f>
        <v>98.800000000000011</v>
      </c>
      <c r="E103" s="25"/>
      <c r="F103" s="25">
        <f>C103/100*17.5</f>
        <v>7</v>
      </c>
      <c r="G103" s="25"/>
      <c r="H103" s="25">
        <f>C103/100*1.6</f>
        <v>0.64000000000000012</v>
      </c>
      <c r="I103" s="25">
        <f>C103/100*39.2</f>
        <v>15.680000000000001</v>
      </c>
      <c r="J103" s="60"/>
      <c r="K103" s="60"/>
      <c r="L103" s="161">
        <v>40</v>
      </c>
      <c r="M103" s="61">
        <v>50</v>
      </c>
      <c r="N103" s="20">
        <f t="shared" si="4"/>
        <v>2000</v>
      </c>
      <c r="O103" s="3"/>
      <c r="Q103" s="2"/>
      <c r="R103" s="2"/>
      <c r="S103" s="3"/>
      <c r="T103" s="2"/>
    </row>
    <row r="104" spans="1:20" ht="18.600000000000001" customHeight="1" x14ac:dyDescent="0.25">
      <c r="A104" s="8">
        <v>12</v>
      </c>
      <c r="B104" s="5" t="s">
        <v>123</v>
      </c>
      <c r="C104" s="20"/>
      <c r="D104" s="117"/>
      <c r="E104" s="22"/>
      <c r="F104" s="22"/>
      <c r="G104" s="22"/>
      <c r="H104" s="22"/>
      <c r="I104" s="22"/>
      <c r="J104" s="24"/>
      <c r="K104" s="24"/>
      <c r="L104" s="23"/>
      <c r="M104" s="23"/>
      <c r="N104" s="20">
        <v>3950</v>
      </c>
      <c r="O104" s="3"/>
    </row>
    <row r="105" spans="1:20" ht="18.600000000000001" customHeight="1" x14ac:dyDescent="0.25">
      <c r="A105" s="18" t="s">
        <v>118</v>
      </c>
      <c r="B105" s="19"/>
      <c r="C105" s="29"/>
      <c r="D105" s="101">
        <f>SUM(D93:D104)</f>
        <v>15755.606</v>
      </c>
      <c r="E105" s="6"/>
      <c r="F105" s="6"/>
      <c r="G105" s="6"/>
      <c r="H105" s="6"/>
      <c r="I105" s="6"/>
      <c r="J105" s="6"/>
      <c r="K105" s="6"/>
      <c r="L105" s="37"/>
      <c r="M105" s="398"/>
      <c r="N105" s="277">
        <f>SUM(N93:N104)</f>
        <v>442546</v>
      </c>
      <c r="O105" s="3"/>
    </row>
    <row r="106" spans="1:20" ht="18.600000000000001" customHeight="1" x14ac:dyDescent="0.25">
      <c r="A106" s="18" t="s">
        <v>37</v>
      </c>
      <c r="B106" s="19"/>
      <c r="C106" s="38"/>
      <c r="D106" s="39">
        <f>D105/D87</f>
        <v>291.77048148148145</v>
      </c>
      <c r="E106" s="39"/>
      <c r="F106" s="39"/>
      <c r="G106" s="39"/>
      <c r="H106" s="39"/>
      <c r="I106" s="39"/>
      <c r="J106" s="39"/>
      <c r="K106" s="39"/>
      <c r="L106" s="37"/>
      <c r="M106" s="399"/>
      <c r="N106" s="278"/>
      <c r="O106" s="164"/>
    </row>
    <row r="107" spans="1:20" ht="18.600000000000001" customHeight="1" x14ac:dyDescent="0.25">
      <c r="A107" s="380" t="s">
        <v>53</v>
      </c>
      <c r="B107" s="306"/>
      <c r="C107" s="173" t="s">
        <v>151</v>
      </c>
      <c r="D107" s="17" t="s">
        <v>45</v>
      </c>
      <c r="E107" s="39"/>
      <c r="F107" s="39"/>
      <c r="G107" s="39"/>
      <c r="H107" s="39"/>
      <c r="I107" s="39"/>
      <c r="J107" s="40"/>
      <c r="K107" s="40"/>
      <c r="L107" s="37"/>
      <c r="M107" s="37"/>
      <c r="N107" s="150"/>
      <c r="O107" s="3"/>
    </row>
    <row r="108" spans="1:20" ht="18.600000000000001" customHeight="1" x14ac:dyDescent="0.25">
      <c r="A108" s="307"/>
      <c r="B108" s="308"/>
      <c r="C108" s="62" t="s">
        <v>60</v>
      </c>
      <c r="D108" s="64">
        <f>D106*100/930</f>
        <v>31.373170051772199</v>
      </c>
      <c r="E108" s="39"/>
      <c r="F108" s="39"/>
      <c r="G108" s="39"/>
      <c r="H108" s="39"/>
      <c r="I108" s="39"/>
      <c r="J108" s="40"/>
      <c r="K108" s="40"/>
      <c r="L108" s="37"/>
      <c r="M108" s="37"/>
      <c r="N108" s="150"/>
      <c r="O108" s="3"/>
    </row>
    <row r="109" spans="1:20" ht="18.600000000000001" customHeight="1" x14ac:dyDescent="0.3">
      <c r="A109" s="316" t="s">
        <v>38</v>
      </c>
      <c r="B109" s="316"/>
      <c r="C109" s="47"/>
      <c r="D109" s="48"/>
      <c r="E109" s="49"/>
      <c r="F109" s="49"/>
      <c r="G109" s="49"/>
      <c r="H109" s="49"/>
      <c r="I109" s="49"/>
      <c r="J109" s="49"/>
      <c r="K109" s="49"/>
      <c r="L109" s="50"/>
      <c r="M109" s="50"/>
      <c r="N109" s="47"/>
      <c r="O109" s="3"/>
    </row>
    <row r="110" spans="1:20" ht="18.600000000000001" customHeight="1" x14ac:dyDescent="0.25">
      <c r="A110" s="8">
        <v>1</v>
      </c>
      <c r="B110" s="9" t="s">
        <v>2</v>
      </c>
      <c r="C110" s="20">
        <f>L110/100*100</f>
        <v>60</v>
      </c>
      <c r="D110" s="21">
        <f>C110/100*60</f>
        <v>36</v>
      </c>
      <c r="E110" s="22">
        <f>C110/100*15</f>
        <v>9</v>
      </c>
      <c r="F110" s="22"/>
      <c r="G110" s="22"/>
      <c r="H110" s="22"/>
      <c r="I110" s="22"/>
      <c r="J110" s="24">
        <f>C110/100*387</f>
        <v>232.2</v>
      </c>
      <c r="K110" s="24">
        <f>C110/100*0.09</f>
        <v>5.3999999999999999E-2</v>
      </c>
      <c r="L110" s="116">
        <v>60</v>
      </c>
      <c r="M110" s="61">
        <v>20</v>
      </c>
      <c r="N110" s="20">
        <f>L110*M110</f>
        <v>1200</v>
      </c>
      <c r="O110" s="3"/>
    </row>
    <row r="111" spans="1:20" ht="18.600000000000001" customHeight="1" x14ac:dyDescent="0.25">
      <c r="A111" s="8">
        <v>2</v>
      </c>
      <c r="B111" s="9" t="s">
        <v>141</v>
      </c>
      <c r="C111" s="20">
        <f>L111/100*100</f>
        <v>220.00000000000003</v>
      </c>
      <c r="D111" s="21">
        <f>C111/100*899</f>
        <v>1977.8000000000002</v>
      </c>
      <c r="E111" s="22"/>
      <c r="F111" s="22"/>
      <c r="G111" s="22">
        <f>C111/100*100</f>
        <v>220.00000000000003</v>
      </c>
      <c r="H111" s="22"/>
      <c r="I111" s="22"/>
      <c r="J111" s="24"/>
      <c r="K111" s="24"/>
      <c r="L111" s="116">
        <v>220</v>
      </c>
      <c r="M111" s="61">
        <v>68</v>
      </c>
      <c r="N111" s="20">
        <f t="shared" ref="N111:N117" si="5">L111*M111</f>
        <v>14960</v>
      </c>
      <c r="O111" s="3"/>
    </row>
    <row r="112" spans="1:20" ht="18.600000000000001" customHeight="1" x14ac:dyDescent="0.25">
      <c r="A112" s="8">
        <v>3</v>
      </c>
      <c r="B112" s="4" t="s">
        <v>1</v>
      </c>
      <c r="C112" s="20">
        <f>L112/100*100</f>
        <v>2268</v>
      </c>
      <c r="D112" s="21">
        <f>C112/100*352.9</f>
        <v>8003.771999999999</v>
      </c>
      <c r="E112" s="22"/>
      <c r="F112" s="22">
        <f>C112/100*7.9</f>
        <v>179.172</v>
      </c>
      <c r="G112" s="22"/>
      <c r="H112" s="22">
        <f>C112/100*1</f>
        <v>22.68</v>
      </c>
      <c r="I112" s="22">
        <f>C112/100*75.9</f>
        <v>1721.412</v>
      </c>
      <c r="J112" s="24">
        <f>C112/100*30</f>
        <v>680.4</v>
      </c>
      <c r="K112" s="24">
        <f>C112/100*0.1</f>
        <v>2.2680000000000002</v>
      </c>
      <c r="L112" s="116">
        <v>2268</v>
      </c>
      <c r="M112" s="61">
        <v>18</v>
      </c>
      <c r="N112" s="20">
        <f t="shared" si="5"/>
        <v>40824</v>
      </c>
      <c r="O112" s="3"/>
    </row>
    <row r="113" spans="1:20" ht="18.600000000000001" customHeight="1" x14ac:dyDescent="0.25">
      <c r="A113" s="8">
        <v>4</v>
      </c>
      <c r="B113" s="4" t="s">
        <v>136</v>
      </c>
      <c r="C113" s="20">
        <f>L113/100*100</f>
        <v>40</v>
      </c>
      <c r="D113" s="21">
        <f>C113/100*247</f>
        <v>98.800000000000011</v>
      </c>
      <c r="E113" s="25"/>
      <c r="F113" s="25">
        <f>C113/100*17.5</f>
        <v>7</v>
      </c>
      <c r="G113" s="25"/>
      <c r="H113" s="25">
        <f>C113/100*1.6</f>
        <v>0.64000000000000012</v>
      </c>
      <c r="I113" s="25">
        <f>C113/100*39.2</f>
        <v>15.680000000000001</v>
      </c>
      <c r="J113" s="60"/>
      <c r="K113" s="60"/>
      <c r="L113" s="161">
        <v>40</v>
      </c>
      <c r="M113" s="61">
        <v>50</v>
      </c>
      <c r="N113" s="20">
        <f t="shared" si="5"/>
        <v>2000</v>
      </c>
      <c r="O113" s="3"/>
      <c r="Q113" s="2"/>
      <c r="R113" s="2"/>
      <c r="S113" s="3"/>
      <c r="T113" s="2"/>
    </row>
    <row r="114" spans="1:20" ht="18.600000000000001" customHeight="1" x14ac:dyDescent="0.25">
      <c r="A114" s="8">
        <v>5</v>
      </c>
      <c r="B114" s="9" t="s">
        <v>70</v>
      </c>
      <c r="C114" s="20">
        <f>L114/100*90</f>
        <v>13.5</v>
      </c>
      <c r="D114" s="21">
        <f>C114/100*253</f>
        <v>34.155000000000001</v>
      </c>
      <c r="E114" s="22"/>
      <c r="F114" s="22">
        <f>C114/100*32.4</f>
        <v>4.3739999999999997</v>
      </c>
      <c r="G114" s="22"/>
      <c r="H114" s="22">
        <f>C114/100*3.6</f>
        <v>0.48600000000000004</v>
      </c>
      <c r="I114" s="22">
        <f>C114/100*21.1</f>
        <v>2.8485000000000005</v>
      </c>
      <c r="J114" s="24">
        <f>C114/100*165.6</f>
        <v>22.356000000000002</v>
      </c>
      <c r="K114" s="24">
        <f>C114/100*0.14</f>
        <v>1.8900000000000004E-2</v>
      </c>
      <c r="L114" s="116">
        <v>15</v>
      </c>
      <c r="M114" s="61">
        <v>275</v>
      </c>
      <c r="N114" s="20">
        <f t="shared" si="5"/>
        <v>4125</v>
      </c>
      <c r="O114" s="3"/>
    </row>
    <row r="115" spans="1:20" ht="18.600000000000001" customHeight="1" x14ac:dyDescent="0.25">
      <c r="A115" s="8">
        <v>6</v>
      </c>
      <c r="B115" s="4" t="s">
        <v>75</v>
      </c>
      <c r="C115" s="20">
        <f>L115/100*75</f>
        <v>1290</v>
      </c>
      <c r="D115" s="21">
        <f>C115/100*12</f>
        <v>154.80000000000001</v>
      </c>
      <c r="E115" s="22"/>
      <c r="F115" s="22">
        <f>C115/100*0.6</f>
        <v>7.74</v>
      </c>
      <c r="G115" s="22"/>
      <c r="H115" s="22"/>
      <c r="I115" s="22">
        <f>C115/100*2.4</f>
        <v>30.96</v>
      </c>
      <c r="J115" s="22">
        <f>C115/100*26</f>
        <v>335.40000000000003</v>
      </c>
      <c r="K115" s="22">
        <f>C115/100*0.02</f>
        <v>0.25800000000000001</v>
      </c>
      <c r="L115" s="116">
        <v>1720</v>
      </c>
      <c r="M115" s="61">
        <v>30</v>
      </c>
      <c r="N115" s="20">
        <f t="shared" si="5"/>
        <v>51600</v>
      </c>
      <c r="O115" s="3"/>
    </row>
    <row r="116" spans="1:20" ht="18.600000000000001" customHeight="1" x14ac:dyDescent="0.25">
      <c r="A116" s="8">
        <v>7</v>
      </c>
      <c r="B116" s="9" t="s">
        <v>71</v>
      </c>
      <c r="C116" s="20">
        <f>L116/100*98</f>
        <v>529.20000000000005</v>
      </c>
      <c r="D116" s="21">
        <f>C116/100*139</f>
        <v>735.58800000000008</v>
      </c>
      <c r="E116" s="22">
        <f>C116/100*19</f>
        <v>100.54800000000002</v>
      </c>
      <c r="F116" s="22"/>
      <c r="G116" s="22">
        <f>C116/100*7</f>
        <v>37.044000000000004</v>
      </c>
      <c r="H116" s="22"/>
      <c r="I116" s="22"/>
      <c r="J116" s="24">
        <f>C116/100*7</f>
        <v>37.044000000000004</v>
      </c>
      <c r="K116" s="24">
        <f>C116/100*0.9</f>
        <v>4.7628000000000004</v>
      </c>
      <c r="L116" s="116">
        <v>540</v>
      </c>
      <c r="M116" s="61">
        <v>130</v>
      </c>
      <c r="N116" s="20">
        <f t="shared" si="5"/>
        <v>70200</v>
      </c>
      <c r="O116" s="3"/>
    </row>
    <row r="117" spans="1:20" ht="18.600000000000001" customHeight="1" x14ac:dyDescent="0.25">
      <c r="A117" s="8">
        <v>8</v>
      </c>
      <c r="B117" s="9" t="s">
        <v>92</v>
      </c>
      <c r="C117" s="20">
        <f>L117/100*48</f>
        <v>1814.3999999999999</v>
      </c>
      <c r="D117" s="21">
        <f>C117/100*199</f>
        <v>3610.6559999999995</v>
      </c>
      <c r="E117" s="22">
        <f>C117/100*20.3</f>
        <v>368.32319999999999</v>
      </c>
      <c r="F117" s="22"/>
      <c r="G117" s="22">
        <f>C117/100*13.1</f>
        <v>237.68639999999996</v>
      </c>
      <c r="H117" s="22"/>
      <c r="I117" s="22"/>
      <c r="J117" s="24">
        <f>C117/100*12</f>
        <v>217.72799999999998</v>
      </c>
      <c r="K117" s="24">
        <f>C117/100*0.15</f>
        <v>2.7215999999999996</v>
      </c>
      <c r="L117" s="116">
        <v>3780</v>
      </c>
      <c r="M117" s="61">
        <v>84</v>
      </c>
      <c r="N117" s="20">
        <f t="shared" si="5"/>
        <v>317520</v>
      </c>
      <c r="O117" s="3"/>
      <c r="Q117" s="3"/>
    </row>
    <row r="118" spans="1:20" ht="18.600000000000001" customHeight="1" x14ac:dyDescent="0.25">
      <c r="A118" s="8">
        <v>9</v>
      </c>
      <c r="B118" s="5" t="s">
        <v>123</v>
      </c>
      <c r="C118" s="20"/>
      <c r="D118" s="117"/>
      <c r="E118" s="22"/>
      <c r="F118" s="22"/>
      <c r="G118" s="22"/>
      <c r="H118" s="22"/>
      <c r="I118" s="22"/>
      <c r="J118" s="24"/>
      <c r="K118" s="24"/>
      <c r="L118" s="23"/>
      <c r="M118" s="23"/>
      <c r="N118" s="20">
        <v>3950</v>
      </c>
      <c r="O118" s="3"/>
    </row>
    <row r="119" spans="1:20" ht="18.600000000000001" customHeight="1" x14ac:dyDescent="0.25">
      <c r="A119" s="18" t="s">
        <v>119</v>
      </c>
      <c r="B119" s="19"/>
      <c r="C119" s="29"/>
      <c r="D119" s="101">
        <f>SUM(D110:D118)</f>
        <v>14651.570999999998</v>
      </c>
      <c r="E119" s="6"/>
      <c r="F119" s="6"/>
      <c r="G119" s="6"/>
      <c r="H119" s="6"/>
      <c r="I119" s="6"/>
      <c r="J119" s="6"/>
      <c r="K119" s="6"/>
      <c r="L119" s="37"/>
      <c r="M119" s="398"/>
      <c r="N119" s="277">
        <f>SUM(N110:N118)</f>
        <v>506379</v>
      </c>
      <c r="O119" s="3"/>
    </row>
    <row r="120" spans="1:20" ht="18.600000000000001" customHeight="1" x14ac:dyDescent="0.25">
      <c r="A120" s="18" t="s">
        <v>36</v>
      </c>
      <c r="B120" s="19"/>
      <c r="C120" s="51"/>
      <c r="D120" s="40">
        <f>D119/D87</f>
        <v>271.32538888888888</v>
      </c>
      <c r="E120" s="40"/>
      <c r="F120" s="40"/>
      <c r="G120" s="40"/>
      <c r="H120" s="40"/>
      <c r="I120" s="40"/>
      <c r="J120" s="40"/>
      <c r="K120" s="40"/>
      <c r="L120" s="52"/>
      <c r="M120" s="399"/>
      <c r="N120" s="315"/>
      <c r="O120" s="164"/>
    </row>
    <row r="121" spans="1:20" ht="18.600000000000001" customHeight="1" x14ac:dyDescent="0.25">
      <c r="A121" s="380" t="s">
        <v>54</v>
      </c>
      <c r="B121" s="306"/>
      <c r="C121" s="173" t="s">
        <v>151</v>
      </c>
      <c r="D121" s="17" t="s">
        <v>46</v>
      </c>
      <c r="E121" s="39"/>
      <c r="F121" s="39"/>
      <c r="G121" s="39"/>
      <c r="H121" s="39"/>
      <c r="I121" s="39"/>
      <c r="J121" s="40"/>
      <c r="K121" s="40"/>
      <c r="L121" s="37"/>
      <c r="M121" s="37"/>
      <c r="N121" s="150"/>
      <c r="O121" s="3"/>
    </row>
    <row r="122" spans="1:20" ht="18.600000000000001" customHeight="1" x14ac:dyDescent="0.25">
      <c r="A122" s="307"/>
      <c r="B122" s="308"/>
      <c r="C122" s="62" t="s">
        <v>60</v>
      </c>
      <c r="D122" s="64">
        <f>D120*100/930</f>
        <v>29.174772998805256</v>
      </c>
      <c r="E122" s="39"/>
      <c r="F122" s="39"/>
      <c r="G122" s="39"/>
      <c r="H122" s="39"/>
      <c r="I122" s="39"/>
      <c r="J122" s="40"/>
      <c r="K122" s="40"/>
      <c r="L122" s="37"/>
      <c r="M122" s="37"/>
      <c r="N122" s="150"/>
      <c r="O122" s="3"/>
      <c r="R122" s="142"/>
    </row>
    <row r="123" spans="1:20" ht="18.600000000000001" customHeight="1" x14ac:dyDescent="0.3">
      <c r="A123" s="316" t="s">
        <v>35</v>
      </c>
      <c r="B123" s="316"/>
      <c r="C123" s="53"/>
      <c r="D123" s="54"/>
      <c r="E123" s="54"/>
      <c r="F123" s="54"/>
      <c r="G123" s="54"/>
      <c r="H123" s="54"/>
      <c r="I123" s="54"/>
      <c r="J123" s="54"/>
      <c r="K123" s="54"/>
      <c r="L123" s="55"/>
      <c r="M123" s="55"/>
      <c r="N123" s="56"/>
      <c r="O123" s="164"/>
    </row>
    <row r="124" spans="1:20" ht="18.600000000000001" customHeight="1" x14ac:dyDescent="0.25">
      <c r="A124" s="86">
        <v>1</v>
      </c>
      <c r="B124" s="133" t="s">
        <v>149</v>
      </c>
      <c r="C124" s="87">
        <f>L124/100*100</f>
        <v>919.99999999999989</v>
      </c>
      <c r="D124" s="88">
        <f>C124/100*487</f>
        <v>4480.3999999999996</v>
      </c>
      <c r="E124" s="89"/>
      <c r="F124" s="89">
        <f>C124/100*19.5</f>
        <v>179.39999999999998</v>
      </c>
      <c r="G124" s="89"/>
      <c r="H124" s="89">
        <f>C124/100*23.2</f>
        <v>213.43999999999997</v>
      </c>
      <c r="I124" s="89">
        <f>C124/100*46</f>
        <v>423.2</v>
      </c>
      <c r="J124" s="125">
        <f>C124/100*680</f>
        <v>6255.9999999999991</v>
      </c>
      <c r="K124" s="89">
        <f>C124/100*0.55</f>
        <v>5.0599999999999996</v>
      </c>
      <c r="L124" s="90">
        <v>920</v>
      </c>
      <c r="M124" s="134">
        <v>260</v>
      </c>
      <c r="N124" s="87">
        <f t="shared" ref="N124" si="6">L124*M124</f>
        <v>239200</v>
      </c>
      <c r="O124" s="3"/>
      <c r="P124" s="2"/>
    </row>
    <row r="125" spans="1:20" ht="17.45" customHeight="1" x14ac:dyDescent="0.25">
      <c r="A125" s="293" t="s">
        <v>0</v>
      </c>
      <c r="B125" s="296" t="s">
        <v>19</v>
      </c>
      <c r="C125" s="296" t="s">
        <v>8</v>
      </c>
      <c r="D125" s="296" t="s">
        <v>9</v>
      </c>
      <c r="E125" s="299" t="s">
        <v>11</v>
      </c>
      <c r="F125" s="300"/>
      <c r="G125" s="299" t="s">
        <v>13</v>
      </c>
      <c r="H125" s="300"/>
      <c r="I125" s="293" t="s">
        <v>16</v>
      </c>
      <c r="J125" s="293" t="s">
        <v>41</v>
      </c>
      <c r="K125" s="293" t="s">
        <v>42</v>
      </c>
      <c r="L125" s="293" t="s">
        <v>17</v>
      </c>
      <c r="M125" s="293" t="s">
        <v>55</v>
      </c>
      <c r="N125" s="293" t="s">
        <v>18</v>
      </c>
      <c r="O125" s="158"/>
    </row>
    <row r="126" spans="1:20" ht="17.45" customHeight="1" x14ac:dyDescent="0.25">
      <c r="A126" s="294"/>
      <c r="B126" s="297"/>
      <c r="C126" s="297"/>
      <c r="D126" s="297"/>
      <c r="E126" s="301"/>
      <c r="F126" s="302"/>
      <c r="G126" s="301"/>
      <c r="H126" s="302"/>
      <c r="I126" s="303"/>
      <c r="J126" s="303"/>
      <c r="K126" s="303"/>
      <c r="L126" s="303"/>
      <c r="M126" s="303"/>
      <c r="N126" s="294"/>
      <c r="O126" s="149"/>
    </row>
    <row r="127" spans="1:20" ht="17.45" customHeight="1" x14ac:dyDescent="0.25">
      <c r="A127" s="294"/>
      <c r="B127" s="297"/>
      <c r="C127" s="297"/>
      <c r="D127" s="297"/>
      <c r="E127" s="293" t="s">
        <v>10</v>
      </c>
      <c r="F127" s="293" t="s">
        <v>12</v>
      </c>
      <c r="G127" s="293" t="s">
        <v>14</v>
      </c>
      <c r="H127" s="293" t="s">
        <v>15</v>
      </c>
      <c r="I127" s="303"/>
      <c r="J127" s="303"/>
      <c r="K127" s="303"/>
      <c r="L127" s="303"/>
      <c r="M127" s="303"/>
      <c r="N127" s="294"/>
      <c r="O127" s="149"/>
    </row>
    <row r="128" spans="1:20" ht="17.45" customHeight="1" x14ac:dyDescent="0.25">
      <c r="A128" s="295"/>
      <c r="B128" s="298"/>
      <c r="C128" s="298"/>
      <c r="D128" s="298"/>
      <c r="E128" s="304"/>
      <c r="F128" s="304"/>
      <c r="G128" s="304"/>
      <c r="H128" s="304"/>
      <c r="I128" s="304"/>
      <c r="J128" s="304"/>
      <c r="K128" s="304"/>
      <c r="L128" s="304"/>
      <c r="M128" s="304"/>
      <c r="N128" s="295"/>
      <c r="O128" s="149"/>
    </row>
    <row r="129" spans="1:22" ht="18" customHeight="1" x14ac:dyDescent="0.25">
      <c r="A129" s="18" t="s">
        <v>106</v>
      </c>
      <c r="B129" s="19"/>
      <c r="C129" s="29"/>
      <c r="D129" s="30">
        <f>SUM(D123:D124)</f>
        <v>4480.3999999999996</v>
      </c>
      <c r="E129" s="6"/>
      <c r="F129" s="6"/>
      <c r="G129" s="6"/>
      <c r="H129" s="6"/>
      <c r="I129" s="6"/>
      <c r="J129" s="6"/>
      <c r="K129" s="6"/>
      <c r="L129" s="37"/>
      <c r="M129" s="398"/>
      <c r="N129" s="277">
        <f>SUM(N123:N124)</f>
        <v>239200</v>
      </c>
      <c r="O129" s="3"/>
    </row>
    <row r="130" spans="1:22" ht="18" customHeight="1" x14ac:dyDescent="0.25">
      <c r="A130" s="18" t="s">
        <v>7</v>
      </c>
      <c r="B130" s="19"/>
      <c r="C130" s="38"/>
      <c r="D130" s="39">
        <f>D129/D87</f>
        <v>82.970370370370361</v>
      </c>
      <c r="E130" s="39"/>
      <c r="F130" s="39"/>
      <c r="G130" s="39"/>
      <c r="H130" s="39"/>
      <c r="I130" s="39"/>
      <c r="J130" s="39"/>
      <c r="K130" s="39"/>
      <c r="L130" s="37"/>
      <c r="M130" s="399"/>
      <c r="N130" s="278"/>
      <c r="O130" s="164"/>
    </row>
    <row r="131" spans="1:22" ht="18" customHeight="1" x14ac:dyDescent="0.25">
      <c r="A131" s="380" t="s">
        <v>52</v>
      </c>
      <c r="B131" s="306"/>
      <c r="C131" s="173" t="s">
        <v>151</v>
      </c>
      <c r="D131" s="17" t="s">
        <v>50</v>
      </c>
      <c r="E131" s="39"/>
      <c r="F131" s="39"/>
      <c r="G131" s="39"/>
      <c r="H131" s="39"/>
      <c r="I131" s="39"/>
      <c r="J131" s="40"/>
      <c r="K131" s="40"/>
      <c r="L131" s="37"/>
      <c r="M131" s="37"/>
      <c r="N131" s="150"/>
      <c r="O131" s="3"/>
    </row>
    <row r="132" spans="1:22" ht="18" customHeight="1" x14ac:dyDescent="0.25">
      <c r="A132" s="307"/>
      <c r="B132" s="308"/>
      <c r="C132" s="62" t="s">
        <v>60</v>
      </c>
      <c r="D132" s="17">
        <f>D130*100/930</f>
        <v>8.9215452011150926</v>
      </c>
      <c r="E132" s="39"/>
      <c r="F132" s="39"/>
      <c r="G132" s="39"/>
      <c r="H132" s="39"/>
      <c r="I132" s="39"/>
      <c r="J132" s="40"/>
      <c r="K132" s="40"/>
      <c r="L132" s="37"/>
      <c r="M132" s="37"/>
      <c r="N132" s="150"/>
      <c r="O132" s="3"/>
    </row>
    <row r="133" spans="1:22" ht="18" customHeight="1" x14ac:dyDescent="0.25">
      <c r="A133" s="371" t="s">
        <v>107</v>
      </c>
      <c r="B133" s="372"/>
      <c r="C133" s="375"/>
      <c r="D133" s="393">
        <f>D105+D119+D129</f>
        <v>34887.576999999997</v>
      </c>
      <c r="E133" s="6">
        <f>SUM(E93:E130)</f>
        <v>913.94</v>
      </c>
      <c r="F133" s="6">
        <f>SUM(F93:F130)</f>
        <v>597.26149999999996</v>
      </c>
      <c r="G133" s="6">
        <f>SUM(G93:G130)</f>
        <v>948.89</v>
      </c>
      <c r="H133" s="6">
        <f>SUM(H93:H130)</f>
        <v>392.92939999999993</v>
      </c>
      <c r="I133" s="367">
        <f>SUM(I93:I130)</f>
        <v>4054.5665000000004</v>
      </c>
      <c r="J133" s="334">
        <f>SUM(J93:J124)</f>
        <v>14407.166099999999</v>
      </c>
      <c r="K133" s="367">
        <f>SUM(K93:K124)</f>
        <v>31.626539999999999</v>
      </c>
      <c r="L133" s="352"/>
      <c r="M133" s="352"/>
      <c r="N133" s="395">
        <f>N105+N119+N129</f>
        <v>1188125</v>
      </c>
    </row>
    <row r="134" spans="1:22" ht="18" customHeight="1" x14ac:dyDescent="0.25">
      <c r="A134" s="373"/>
      <c r="B134" s="374"/>
      <c r="C134" s="376"/>
      <c r="D134" s="394"/>
      <c r="E134" s="365">
        <f>E133+F133</f>
        <v>1511.2015000000001</v>
      </c>
      <c r="F134" s="366"/>
      <c r="G134" s="365">
        <f>G133+H133</f>
        <v>1341.8193999999999</v>
      </c>
      <c r="H134" s="366"/>
      <c r="I134" s="397"/>
      <c r="J134" s="400"/>
      <c r="K134" s="397"/>
      <c r="L134" s="352"/>
      <c r="M134" s="352"/>
      <c r="N134" s="395"/>
      <c r="P134" s="119"/>
      <c r="Q134" s="333"/>
      <c r="R134" s="333"/>
      <c r="S134" s="333"/>
      <c r="T134" s="333"/>
      <c r="U134" s="346"/>
      <c r="V134" s="346"/>
    </row>
    <row r="135" spans="1:22" ht="18" customHeight="1" x14ac:dyDescent="0.25">
      <c r="A135" s="353" t="s">
        <v>77</v>
      </c>
      <c r="B135" s="354"/>
      <c r="C135" s="355"/>
      <c r="D135" s="112">
        <f>D133/D87</f>
        <v>646.06624074074068</v>
      </c>
      <c r="E135" s="174">
        <f>E133/D87</f>
        <v>16.924814814814816</v>
      </c>
      <c r="F135" s="175">
        <f>F133/D87</f>
        <v>11.060398148148147</v>
      </c>
      <c r="G135" s="174">
        <f>G133/D87</f>
        <v>17.572037037037038</v>
      </c>
      <c r="H135" s="175">
        <f>H133/D87</f>
        <v>7.2764703703703688</v>
      </c>
      <c r="I135" s="347">
        <f>I133/D87</f>
        <v>75.084564814814826</v>
      </c>
      <c r="J135" s="347">
        <f>J133/D87</f>
        <v>266.79937222222219</v>
      </c>
      <c r="K135" s="347">
        <f>K133/D87</f>
        <v>0.58567666666666662</v>
      </c>
      <c r="L135" s="352"/>
      <c r="M135" s="352"/>
      <c r="N135" s="395"/>
      <c r="P135" s="167"/>
      <c r="Q135" s="333"/>
      <c r="R135" s="333"/>
      <c r="S135" s="396"/>
      <c r="T135" s="396"/>
      <c r="U135" s="333"/>
      <c r="V135" s="333"/>
    </row>
    <row r="136" spans="1:22" ht="18" customHeight="1" x14ac:dyDescent="0.25">
      <c r="A136" s="356"/>
      <c r="B136" s="357"/>
      <c r="C136" s="358"/>
      <c r="D136" s="107"/>
      <c r="E136" s="369">
        <f>E135+F135</f>
        <v>27.985212962962962</v>
      </c>
      <c r="F136" s="370"/>
      <c r="G136" s="369">
        <f>G135+H135</f>
        <v>24.848507407407407</v>
      </c>
      <c r="H136" s="370"/>
      <c r="I136" s="397"/>
      <c r="J136" s="397"/>
      <c r="K136" s="397"/>
      <c r="L136" s="352"/>
      <c r="M136" s="352"/>
      <c r="N136" s="395"/>
      <c r="P136" s="119"/>
      <c r="Q136" s="119"/>
      <c r="R136" s="119"/>
      <c r="S136" s="119"/>
      <c r="T136" s="119"/>
      <c r="U136" s="119"/>
      <c r="V136" s="119"/>
    </row>
    <row r="137" spans="1:22" ht="18" customHeight="1" x14ac:dyDescent="0.25">
      <c r="A137" s="381" t="s">
        <v>80</v>
      </c>
      <c r="B137" s="382"/>
      <c r="C137" s="383"/>
      <c r="D137" s="151" t="s">
        <v>29</v>
      </c>
      <c r="E137" s="279" t="s">
        <v>24</v>
      </c>
      <c r="F137" s="279"/>
      <c r="G137" s="279" t="s">
        <v>25</v>
      </c>
      <c r="H137" s="279"/>
      <c r="I137" s="151" t="s">
        <v>26</v>
      </c>
      <c r="J137" s="153">
        <v>500</v>
      </c>
      <c r="K137" s="153">
        <v>0.5</v>
      </c>
      <c r="L137" s="352"/>
      <c r="M137" s="352"/>
      <c r="N137" s="395"/>
      <c r="O137" s="169"/>
      <c r="P137" s="119"/>
      <c r="Q137" s="155"/>
      <c r="R137" s="155"/>
      <c r="S137" s="155"/>
      <c r="T137" s="119"/>
      <c r="U137" s="119"/>
      <c r="V137" s="119"/>
    </row>
    <row r="138" spans="1:22" ht="18" customHeight="1" x14ac:dyDescent="0.25">
      <c r="A138" s="271" t="s">
        <v>78</v>
      </c>
      <c r="B138" s="332"/>
      <c r="C138" s="272"/>
      <c r="D138" s="41"/>
      <c r="E138" s="359">
        <f>E136*4.1</f>
        <v>114.73937314814813</v>
      </c>
      <c r="F138" s="360"/>
      <c r="G138" s="359">
        <f>G136*9</f>
        <v>223.63656666666665</v>
      </c>
      <c r="H138" s="360"/>
      <c r="I138" s="69">
        <f>I135*4.1</f>
        <v>307.84671574074076</v>
      </c>
      <c r="J138" s="337"/>
      <c r="K138" s="337"/>
      <c r="L138" s="352"/>
      <c r="M138" s="352"/>
      <c r="N138" s="395"/>
      <c r="O138" s="169"/>
      <c r="P138" s="170"/>
      <c r="Q138" s="119"/>
      <c r="R138" s="119"/>
      <c r="S138" s="119"/>
      <c r="T138" s="119"/>
      <c r="U138" s="119"/>
      <c r="V138" s="119"/>
    </row>
    <row r="139" spans="1:22" ht="18" customHeight="1" x14ac:dyDescent="0.25">
      <c r="A139" s="361" t="s">
        <v>87</v>
      </c>
      <c r="B139" s="362"/>
      <c r="C139" s="271" t="s">
        <v>59</v>
      </c>
      <c r="D139" s="272"/>
      <c r="E139" s="273">
        <f>E138*100/D135</f>
        <v>17.7596917951625</v>
      </c>
      <c r="F139" s="274"/>
      <c r="G139" s="273">
        <f>G138*100/D135</f>
        <v>34.615114142205982</v>
      </c>
      <c r="H139" s="274"/>
      <c r="I139" s="95">
        <f>I138*100/D135</f>
        <v>47.64940439973806</v>
      </c>
      <c r="J139" s="338"/>
      <c r="K139" s="338"/>
      <c r="L139" s="352"/>
      <c r="M139" s="352"/>
      <c r="N139" s="395"/>
      <c r="O139" s="169"/>
    </row>
    <row r="140" spans="1:22" ht="18" customHeight="1" x14ac:dyDescent="0.25">
      <c r="A140" s="363"/>
      <c r="B140" s="364"/>
      <c r="C140" s="271" t="s">
        <v>79</v>
      </c>
      <c r="D140" s="272"/>
      <c r="E140" s="271" t="s">
        <v>82</v>
      </c>
      <c r="F140" s="272"/>
      <c r="G140" s="271" t="s">
        <v>85</v>
      </c>
      <c r="H140" s="272"/>
      <c r="I140" s="151" t="s">
        <v>86</v>
      </c>
      <c r="J140" s="339"/>
      <c r="K140" s="339"/>
      <c r="L140" s="352"/>
      <c r="M140" s="352"/>
      <c r="N140" s="395"/>
      <c r="O140" s="169"/>
      <c r="P140" s="2"/>
    </row>
    <row r="141" spans="1:22" ht="22.15" customHeight="1" x14ac:dyDescent="0.25">
      <c r="A141" s="73"/>
      <c r="B141" s="76"/>
      <c r="C141" s="73"/>
      <c r="D141" s="73"/>
      <c r="E141" s="73"/>
      <c r="F141" s="73"/>
      <c r="G141" s="73"/>
      <c r="H141" s="73"/>
      <c r="I141" s="73"/>
      <c r="J141" s="73"/>
      <c r="K141" s="73"/>
      <c r="L141" s="74"/>
      <c r="M141" s="74"/>
      <c r="N141" s="75"/>
      <c r="O141" s="169"/>
    </row>
    <row r="142" spans="1:22" ht="21" customHeight="1" x14ac:dyDescent="0.25">
      <c r="A142" s="265" t="s">
        <v>114</v>
      </c>
      <c r="B142" s="265"/>
      <c r="C142" s="265"/>
      <c r="D142" s="265"/>
      <c r="E142" s="265"/>
      <c r="F142" s="265"/>
      <c r="G142" s="265"/>
      <c r="H142" s="265"/>
      <c r="I142" s="265"/>
      <c r="J142" s="265"/>
      <c r="K142" s="265"/>
      <c r="L142" s="265"/>
      <c r="M142" s="265"/>
      <c r="N142" s="265"/>
      <c r="O142" s="169"/>
    </row>
    <row r="143" spans="1:22" ht="21" customHeight="1" x14ac:dyDescent="0.25">
      <c r="A143" s="97" t="s">
        <v>115</v>
      </c>
      <c r="B143" s="266" t="s">
        <v>126</v>
      </c>
      <c r="C143" s="266"/>
      <c r="D143" s="266"/>
      <c r="E143" s="266"/>
      <c r="F143" s="266"/>
      <c r="G143" s="266"/>
      <c r="H143" s="266"/>
      <c r="I143" s="266"/>
      <c r="J143" s="266"/>
      <c r="K143" s="266"/>
      <c r="L143" s="266"/>
      <c r="M143" s="266"/>
      <c r="N143" s="266"/>
      <c r="O143" s="169"/>
    </row>
    <row r="144" spans="1:22" ht="21" customHeight="1" x14ac:dyDescent="0.25">
      <c r="A144" s="98"/>
      <c r="B144" s="267" t="s">
        <v>209</v>
      </c>
      <c r="C144" s="267"/>
      <c r="D144" s="267"/>
      <c r="E144" s="267"/>
      <c r="F144" s="267"/>
      <c r="G144" s="267"/>
      <c r="H144" s="267"/>
      <c r="I144" s="267"/>
      <c r="J144" s="267"/>
      <c r="K144" s="267"/>
      <c r="L144" s="267"/>
      <c r="M144" s="267"/>
      <c r="N144" s="267"/>
      <c r="O144" s="169"/>
    </row>
    <row r="145" spans="1:15" ht="21" customHeight="1" x14ac:dyDescent="0.25">
      <c r="A145" s="98"/>
      <c r="B145" s="267" t="s">
        <v>210</v>
      </c>
      <c r="C145" s="267"/>
      <c r="D145" s="267"/>
      <c r="E145" s="267"/>
      <c r="F145" s="267"/>
      <c r="G145" s="267"/>
      <c r="H145" s="267"/>
      <c r="I145" s="267"/>
      <c r="J145" s="267"/>
      <c r="K145" s="267"/>
      <c r="L145" s="267"/>
      <c r="M145" s="267"/>
      <c r="N145" s="267"/>
      <c r="O145" s="169"/>
    </row>
    <row r="146" spans="1:15" ht="21" customHeight="1" x14ac:dyDescent="0.25">
      <c r="A146" s="98"/>
      <c r="B146" s="267" t="s">
        <v>152</v>
      </c>
      <c r="C146" s="267"/>
      <c r="D146" s="267"/>
      <c r="E146" s="267"/>
      <c r="F146" s="267"/>
      <c r="G146" s="267"/>
      <c r="H146" s="267"/>
      <c r="I146" s="267"/>
      <c r="J146" s="267"/>
      <c r="K146" s="267"/>
      <c r="L146" s="267"/>
      <c r="M146" s="267"/>
      <c r="N146" s="267"/>
      <c r="O146" s="169"/>
    </row>
    <row r="147" spans="1:15" ht="21" customHeight="1" x14ac:dyDescent="0.25">
      <c r="A147" s="73"/>
      <c r="B147" s="268" t="s">
        <v>117</v>
      </c>
      <c r="C147" s="268"/>
      <c r="D147" s="268"/>
      <c r="E147" s="268"/>
      <c r="F147" s="268"/>
      <c r="G147" s="268"/>
      <c r="H147" s="268"/>
      <c r="I147" s="268"/>
      <c r="J147" s="268"/>
      <c r="K147" s="268"/>
      <c r="L147" s="268"/>
      <c r="M147" s="268"/>
      <c r="N147" s="268"/>
      <c r="O147" s="169"/>
    </row>
    <row r="148" spans="1:15" ht="21" customHeight="1" x14ac:dyDescent="0.25">
      <c r="A148" s="73"/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7"/>
      <c r="M148" s="77"/>
      <c r="N148" s="78"/>
      <c r="O148" s="169"/>
    </row>
    <row r="149" spans="1:15" ht="21" customHeight="1" x14ac:dyDescent="0.25">
      <c r="A149" s="269" t="s">
        <v>62</v>
      </c>
      <c r="B149" s="269"/>
      <c r="C149" s="269"/>
      <c r="D149" s="269"/>
      <c r="E149" s="171"/>
      <c r="F149" s="171"/>
      <c r="G149" s="171"/>
      <c r="H149" s="171"/>
      <c r="I149" s="171"/>
      <c r="J149" s="270" t="s">
        <v>33</v>
      </c>
      <c r="K149" s="270"/>
      <c r="L149" s="270"/>
      <c r="M149" s="270"/>
      <c r="N149" s="270"/>
      <c r="O149" s="169"/>
    </row>
    <row r="150" spans="1:15" ht="21" customHeight="1" x14ac:dyDescent="0.25">
      <c r="A150" s="149"/>
      <c r="B150" s="149"/>
      <c r="C150" s="149"/>
      <c r="D150" s="171"/>
      <c r="E150" s="171"/>
      <c r="F150" s="171"/>
      <c r="G150" s="171"/>
      <c r="H150" s="172"/>
      <c r="I150" s="172"/>
      <c r="J150" s="172"/>
      <c r="K150" s="172"/>
      <c r="L150" s="172"/>
      <c r="M150" s="172"/>
      <c r="N150" s="172"/>
      <c r="O150" s="169"/>
    </row>
    <row r="151" spans="1:15" ht="21" customHeight="1" x14ac:dyDescent="0.25">
      <c r="A151" s="149"/>
      <c r="B151" s="149"/>
      <c r="C151" s="149"/>
      <c r="D151" s="171"/>
      <c r="E151" s="171"/>
      <c r="F151" s="171"/>
      <c r="G151" s="171"/>
      <c r="H151" s="172"/>
      <c r="I151" s="172"/>
      <c r="J151" s="172"/>
      <c r="K151" s="172"/>
      <c r="L151" s="172"/>
      <c r="M151" s="172"/>
      <c r="N151" s="172"/>
      <c r="O151" s="169"/>
    </row>
    <row r="152" spans="1:15" ht="21" customHeight="1" x14ac:dyDescent="0.25">
      <c r="A152" s="149"/>
      <c r="B152" s="149"/>
      <c r="C152" s="149"/>
      <c r="D152" s="171"/>
      <c r="E152" s="171"/>
      <c r="F152" s="171"/>
      <c r="G152" s="171"/>
      <c r="H152" s="172"/>
      <c r="I152" s="172"/>
      <c r="J152" s="261" t="s">
        <v>124</v>
      </c>
      <c r="K152" s="261"/>
      <c r="L152" s="261"/>
      <c r="M152" s="261"/>
      <c r="N152" s="261"/>
      <c r="O152" s="169"/>
    </row>
    <row r="153" spans="1:15" ht="22.15" customHeight="1" x14ac:dyDescent="0.25">
      <c r="A153" s="260" t="s">
        <v>91</v>
      </c>
      <c r="B153" s="260"/>
      <c r="C153" s="260"/>
      <c r="D153" s="260"/>
      <c r="E153" s="171"/>
      <c r="F153" s="171"/>
      <c r="G153" s="171"/>
      <c r="H153" s="172"/>
      <c r="I153" s="172"/>
      <c r="O153" s="169"/>
    </row>
    <row r="155" spans="1:15" ht="22.15" customHeight="1" x14ac:dyDescent="0.25">
      <c r="J155" s="261" t="s">
        <v>127</v>
      </c>
      <c r="K155" s="261"/>
      <c r="L155" s="261"/>
      <c r="M155" s="261"/>
      <c r="N155" s="261"/>
    </row>
    <row r="156" spans="1:15" ht="22.15" customHeight="1" x14ac:dyDescent="0.25">
      <c r="J156" s="261"/>
      <c r="K156" s="261"/>
      <c r="L156" s="261"/>
      <c r="M156" s="261"/>
      <c r="N156" s="261"/>
    </row>
  </sheetData>
  <mergeCells count="208">
    <mergeCell ref="A7:D7"/>
    <mergeCell ref="A82:D83"/>
    <mergeCell ref="E82:N82"/>
    <mergeCell ref="E83:I83"/>
    <mergeCell ref="J83:N83"/>
    <mergeCell ref="A11:A14"/>
    <mergeCell ref="B11:B14"/>
    <mergeCell ref="C11:C14"/>
    <mergeCell ref="N28:N29"/>
    <mergeCell ref="D11:D14"/>
    <mergeCell ref="G11:H12"/>
    <mergeCell ref="I11:I14"/>
    <mergeCell ref="L11:L14"/>
    <mergeCell ref="N11:N14"/>
    <mergeCell ref="E13:E14"/>
    <mergeCell ref="F13:F14"/>
    <mergeCell ref="G13:G14"/>
    <mergeCell ref="H13:H14"/>
    <mergeCell ref="J42:J45"/>
    <mergeCell ref="K42:K45"/>
    <mergeCell ref="G44:G45"/>
    <mergeCell ref="H44:H45"/>
    <mergeCell ref="C57:D57"/>
    <mergeCell ref="G42:H43"/>
    <mergeCell ref="A153:D153"/>
    <mergeCell ref="J156:N156"/>
    <mergeCell ref="A8:D8"/>
    <mergeCell ref="A9:D9"/>
    <mergeCell ref="K125:K128"/>
    <mergeCell ref="L125:L128"/>
    <mergeCell ref="M125:M128"/>
    <mergeCell ref="A85:D85"/>
    <mergeCell ref="J11:J14"/>
    <mergeCell ref="K11:K14"/>
    <mergeCell ref="M11:M14"/>
    <mergeCell ref="A42:A45"/>
    <mergeCell ref="J86:N86"/>
    <mergeCell ref="E55:F55"/>
    <mergeCell ref="G51:H51"/>
    <mergeCell ref="I52:I53"/>
    <mergeCell ref="E51:F51"/>
    <mergeCell ref="A50:B51"/>
    <mergeCell ref="A10:C10"/>
    <mergeCell ref="A66:D66"/>
    <mergeCell ref="B61:N61"/>
    <mergeCell ref="B64:N64"/>
    <mergeCell ref="F44:F45"/>
    <mergeCell ref="F90:F91"/>
    <mergeCell ref="L42:L45"/>
    <mergeCell ref="M42:M45"/>
    <mergeCell ref="A52:C53"/>
    <mergeCell ref="A54:C54"/>
    <mergeCell ref="A87:C87"/>
    <mergeCell ref="A86:D86"/>
    <mergeCell ref="B88:B91"/>
    <mergeCell ref="I42:I45"/>
    <mergeCell ref="E57:F57"/>
    <mergeCell ref="A48:B49"/>
    <mergeCell ref="J85:N85"/>
    <mergeCell ref="C50:C51"/>
    <mergeCell ref="D50:D51"/>
    <mergeCell ref="J55:J57"/>
    <mergeCell ref="K55:K57"/>
    <mergeCell ref="A56:B57"/>
    <mergeCell ref="C56:D56"/>
    <mergeCell ref="E56:F56"/>
    <mergeCell ref="G56:H56"/>
    <mergeCell ref="E53:F53"/>
    <mergeCell ref="M50:M57"/>
    <mergeCell ref="A59:N59"/>
    <mergeCell ref="B60:N60"/>
    <mergeCell ref="G53:H53"/>
    <mergeCell ref="E54:F54"/>
    <mergeCell ref="G54:H54"/>
    <mergeCell ref="B62:N62"/>
    <mergeCell ref="B63:N63"/>
    <mergeCell ref="E88:F89"/>
    <mergeCell ref="G88:H89"/>
    <mergeCell ref="A84:D84"/>
    <mergeCell ref="E84:I86"/>
    <mergeCell ref="J84:N84"/>
    <mergeCell ref="J66:N66"/>
    <mergeCell ref="A70:D70"/>
    <mergeCell ref="J70:N70"/>
    <mergeCell ref="J69:N69"/>
    <mergeCell ref="J72:N72"/>
    <mergeCell ref="F1:N1"/>
    <mergeCell ref="F80:N80"/>
    <mergeCell ref="I50:I51"/>
    <mergeCell ref="M46:M47"/>
    <mergeCell ref="L88:L91"/>
    <mergeCell ref="A15:N15"/>
    <mergeCell ref="A30:B31"/>
    <mergeCell ref="M28:M29"/>
    <mergeCell ref="J50:J51"/>
    <mergeCell ref="K50:K51"/>
    <mergeCell ref="J52:J53"/>
    <mergeCell ref="K52:K53"/>
    <mergeCell ref="J88:J91"/>
    <mergeCell ref="K88:K91"/>
    <mergeCell ref="M88:M91"/>
    <mergeCell ref="A55:C55"/>
    <mergeCell ref="N42:N45"/>
    <mergeCell ref="E44:E45"/>
    <mergeCell ref="A32:B32"/>
    <mergeCell ref="G55:H55"/>
    <mergeCell ref="L50:L57"/>
    <mergeCell ref="N46:N47"/>
    <mergeCell ref="E11:F12"/>
    <mergeCell ref="A88:A91"/>
    <mergeCell ref="A5:D5"/>
    <mergeCell ref="E5:N5"/>
    <mergeCell ref="A6:D6"/>
    <mergeCell ref="E6:I9"/>
    <mergeCell ref="J6:N9"/>
    <mergeCell ref="M133:M140"/>
    <mergeCell ref="B42:B45"/>
    <mergeCell ref="C42:C45"/>
    <mergeCell ref="D42:D45"/>
    <mergeCell ref="E42:F43"/>
    <mergeCell ref="A107:B108"/>
    <mergeCell ref="A121:B122"/>
    <mergeCell ref="G57:H57"/>
    <mergeCell ref="N50:N57"/>
    <mergeCell ref="A138:C138"/>
    <mergeCell ref="E138:F138"/>
    <mergeCell ref="G138:H138"/>
    <mergeCell ref="J138:J140"/>
    <mergeCell ref="K138:K140"/>
    <mergeCell ref="A139:B140"/>
    <mergeCell ref="C139:D139"/>
    <mergeCell ref="E139:F139"/>
    <mergeCell ref="G139:H139"/>
    <mergeCell ref="C140:D140"/>
    <mergeCell ref="A123:B123"/>
    <mergeCell ref="C133:C134"/>
    <mergeCell ref="M129:M130"/>
    <mergeCell ref="J125:J128"/>
    <mergeCell ref="E127:E128"/>
    <mergeCell ref="F127:F128"/>
    <mergeCell ref="G127:G128"/>
    <mergeCell ref="G136:H136"/>
    <mergeCell ref="N88:N91"/>
    <mergeCell ref="E90:E91"/>
    <mergeCell ref="K133:K134"/>
    <mergeCell ref="A133:B134"/>
    <mergeCell ref="N125:N128"/>
    <mergeCell ref="A92:N92"/>
    <mergeCell ref="N105:N106"/>
    <mergeCell ref="E134:F134"/>
    <mergeCell ref="G134:H134"/>
    <mergeCell ref="I135:I136"/>
    <mergeCell ref="E125:F126"/>
    <mergeCell ref="G125:H126"/>
    <mergeCell ref="I125:I128"/>
    <mergeCell ref="M119:M120"/>
    <mergeCell ref="A125:A128"/>
    <mergeCell ref="B125:B128"/>
    <mergeCell ref="U52:V52"/>
    <mergeCell ref="U53:V53"/>
    <mergeCell ref="Q135:R135"/>
    <mergeCell ref="S135:T135"/>
    <mergeCell ref="Q52:R52"/>
    <mergeCell ref="S52:T52"/>
    <mergeCell ref="Q53:R53"/>
    <mergeCell ref="S53:T53"/>
    <mergeCell ref="Q134:R134"/>
    <mergeCell ref="S134:T134"/>
    <mergeCell ref="U134:V134"/>
    <mergeCell ref="U135:V135"/>
    <mergeCell ref="O86:R86"/>
    <mergeCell ref="N133:N140"/>
    <mergeCell ref="C125:C128"/>
    <mergeCell ref="D125:D128"/>
    <mergeCell ref="H127:H128"/>
    <mergeCell ref="A135:C136"/>
    <mergeCell ref="N129:N130"/>
    <mergeCell ref="L133:L140"/>
    <mergeCell ref="D133:D134"/>
    <mergeCell ref="J135:J136"/>
    <mergeCell ref="K135:K136"/>
    <mergeCell ref="J133:J134"/>
    <mergeCell ref="E140:F140"/>
    <mergeCell ref="G140:H140"/>
    <mergeCell ref="J152:N152"/>
    <mergeCell ref="J155:N155"/>
    <mergeCell ref="B145:N145"/>
    <mergeCell ref="B146:N146"/>
    <mergeCell ref="B147:N147"/>
    <mergeCell ref="A149:D149"/>
    <mergeCell ref="J149:N149"/>
    <mergeCell ref="C88:C91"/>
    <mergeCell ref="D88:D91"/>
    <mergeCell ref="G90:G91"/>
    <mergeCell ref="H90:H91"/>
    <mergeCell ref="A109:B109"/>
    <mergeCell ref="I88:I91"/>
    <mergeCell ref="A142:N142"/>
    <mergeCell ref="B143:N143"/>
    <mergeCell ref="B144:N144"/>
    <mergeCell ref="A137:C137"/>
    <mergeCell ref="I133:I134"/>
    <mergeCell ref="E137:F137"/>
    <mergeCell ref="G137:H137"/>
    <mergeCell ref="N119:N120"/>
    <mergeCell ref="A131:B132"/>
    <mergeCell ref="M105:M106"/>
    <mergeCell ref="E136:F136"/>
  </mergeCells>
  <pageMargins left="0.125" right="0.11666666666666667" top="0.44791666666666669" bottom="0.4062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57"/>
  <sheetViews>
    <sheetView view="pageLayout" zoomScaleNormal="106" workbookViewId="0">
      <selection activeCell="Q53" sqref="Q53:V54"/>
    </sheetView>
  </sheetViews>
  <sheetFormatPr defaultColWidth="9.140625" defaultRowHeight="19.149999999999999" customHeight="1" x14ac:dyDescent="0.25"/>
  <cols>
    <col min="1" max="1" width="2.85546875" style="119" customWidth="1"/>
    <col min="2" max="2" width="11.7109375" style="119" customWidth="1"/>
    <col min="3" max="3" width="6.28515625" style="119" customWidth="1"/>
    <col min="4" max="4" width="7.28515625" style="119" customWidth="1"/>
    <col min="5" max="6" width="6.140625" style="119" customWidth="1"/>
    <col min="7" max="8" width="6.7109375" style="119" customWidth="1"/>
    <col min="9" max="9" width="7.7109375" style="119" customWidth="1"/>
    <col min="10" max="10" width="8.28515625" style="119" customWidth="1"/>
    <col min="11" max="11" width="6.28515625" style="119" customWidth="1"/>
    <col min="12" max="12" width="6.42578125" style="119" customWidth="1"/>
    <col min="13" max="13" width="5" style="119" customWidth="1"/>
    <col min="14" max="14" width="7.42578125" style="119" customWidth="1"/>
    <col min="15" max="15" width="11.85546875" style="119" customWidth="1"/>
    <col min="16" max="16" width="9.140625" style="119"/>
    <col min="17" max="22" width="8.7109375" style="119" customWidth="1"/>
    <col min="23" max="16384" width="9.140625" style="119"/>
  </cols>
  <sheetData>
    <row r="1" spans="1:16" ht="19.899999999999999" customHeight="1" x14ac:dyDescent="0.3">
      <c r="A1" s="186" t="s">
        <v>65</v>
      </c>
      <c r="B1" s="187"/>
      <c r="C1" s="187"/>
      <c r="D1" s="187"/>
      <c r="E1" s="187"/>
      <c r="F1" s="409" t="s">
        <v>31</v>
      </c>
      <c r="G1" s="409"/>
      <c r="H1" s="409"/>
      <c r="I1" s="409"/>
      <c r="J1" s="409"/>
      <c r="K1" s="409"/>
      <c r="L1" s="409"/>
      <c r="M1" s="409"/>
      <c r="N1" s="409"/>
      <c r="O1" s="185"/>
      <c r="P1" s="185"/>
    </row>
    <row r="2" spans="1:16" ht="10.15" customHeight="1" x14ac:dyDescent="0.3">
      <c r="A2" s="186"/>
      <c r="B2" s="187"/>
      <c r="C2" s="187"/>
      <c r="D2" s="187"/>
      <c r="E2" s="187"/>
      <c r="F2" s="188"/>
      <c r="G2" s="188"/>
      <c r="H2" s="188"/>
      <c r="I2" s="188"/>
      <c r="J2" s="188"/>
      <c r="K2" s="188"/>
      <c r="L2" s="188"/>
      <c r="M2" s="188"/>
      <c r="N2" s="188"/>
      <c r="O2" s="185"/>
      <c r="P2" s="185"/>
    </row>
    <row r="3" spans="1:16" ht="19.899999999999999" customHeight="1" x14ac:dyDescent="0.3">
      <c r="A3" s="187" t="s">
        <v>211</v>
      </c>
      <c r="B3" s="187"/>
      <c r="C3" s="187"/>
      <c r="D3" s="187"/>
      <c r="E3" s="187"/>
      <c r="F3" s="188"/>
      <c r="G3" s="188"/>
      <c r="H3" s="188"/>
      <c r="I3" s="188"/>
      <c r="J3" s="188"/>
      <c r="K3" s="188"/>
      <c r="L3" s="188"/>
      <c r="M3" s="188"/>
      <c r="N3" s="188"/>
      <c r="O3" s="185"/>
      <c r="P3" s="185"/>
    </row>
    <row r="4" spans="1:16" ht="10.15" customHeight="1" x14ac:dyDescent="0.3">
      <c r="A4" s="187"/>
      <c r="B4" s="187"/>
      <c r="C4" s="187"/>
      <c r="D4" s="187"/>
      <c r="E4" s="187"/>
      <c r="F4" s="188"/>
      <c r="G4" s="188"/>
      <c r="H4" s="188"/>
      <c r="I4" s="188"/>
      <c r="J4" s="188"/>
      <c r="K4" s="188"/>
      <c r="L4" s="188"/>
      <c r="M4" s="188"/>
      <c r="N4" s="188"/>
      <c r="O4" s="185"/>
      <c r="P4" s="185"/>
    </row>
    <row r="5" spans="1:16" ht="19.899999999999999" customHeight="1" x14ac:dyDescent="0.25">
      <c r="A5" s="410" t="s">
        <v>97</v>
      </c>
      <c r="B5" s="410"/>
      <c r="C5" s="410"/>
      <c r="D5" s="410"/>
      <c r="E5" s="410" t="s">
        <v>98</v>
      </c>
      <c r="F5" s="410"/>
      <c r="G5" s="410"/>
      <c r="H5" s="410"/>
      <c r="I5" s="410"/>
      <c r="J5" s="410"/>
      <c r="K5" s="410"/>
      <c r="L5" s="410"/>
      <c r="M5" s="410"/>
      <c r="N5" s="410"/>
      <c r="O5" s="249"/>
    </row>
    <row r="6" spans="1:16" ht="19.899999999999999" customHeight="1" x14ac:dyDescent="0.25">
      <c r="A6" s="411" t="s">
        <v>90</v>
      </c>
      <c r="B6" s="411"/>
      <c r="C6" s="411"/>
      <c r="D6" s="411"/>
      <c r="E6" s="412" t="s">
        <v>76</v>
      </c>
      <c r="F6" s="412"/>
      <c r="G6" s="412"/>
      <c r="H6" s="412"/>
      <c r="I6" s="412"/>
      <c r="J6" s="413" t="s">
        <v>161</v>
      </c>
      <c r="K6" s="414"/>
      <c r="L6" s="414"/>
      <c r="M6" s="414"/>
      <c r="N6" s="415"/>
      <c r="O6" s="249"/>
    </row>
    <row r="7" spans="1:16" ht="19.899999999999999" customHeight="1" x14ac:dyDescent="0.25">
      <c r="A7" s="422" t="s">
        <v>162</v>
      </c>
      <c r="B7" s="423"/>
      <c r="C7" s="423"/>
      <c r="D7" s="424"/>
      <c r="E7" s="412"/>
      <c r="F7" s="412"/>
      <c r="G7" s="412"/>
      <c r="H7" s="412"/>
      <c r="I7" s="412"/>
      <c r="J7" s="416"/>
      <c r="K7" s="417"/>
      <c r="L7" s="417"/>
      <c r="M7" s="417"/>
      <c r="N7" s="418"/>
      <c r="O7" s="249"/>
    </row>
    <row r="8" spans="1:16" ht="19.899999999999999" customHeight="1" x14ac:dyDescent="0.25">
      <c r="A8" s="425" t="s">
        <v>159</v>
      </c>
      <c r="B8" s="425"/>
      <c r="C8" s="425"/>
      <c r="D8" s="425"/>
      <c r="E8" s="412"/>
      <c r="F8" s="412"/>
      <c r="G8" s="412"/>
      <c r="H8" s="412"/>
      <c r="I8" s="412"/>
      <c r="J8" s="416"/>
      <c r="K8" s="417"/>
      <c r="L8" s="417"/>
      <c r="M8" s="417"/>
      <c r="N8" s="418"/>
      <c r="O8" s="249"/>
    </row>
    <row r="9" spans="1:16" ht="19.899999999999999" customHeight="1" x14ac:dyDescent="0.25">
      <c r="A9" s="426" t="s">
        <v>160</v>
      </c>
      <c r="B9" s="426"/>
      <c r="C9" s="426"/>
      <c r="D9" s="426"/>
      <c r="E9" s="412"/>
      <c r="F9" s="412"/>
      <c r="G9" s="412"/>
      <c r="H9" s="412"/>
      <c r="I9" s="412"/>
      <c r="J9" s="419"/>
      <c r="K9" s="420"/>
      <c r="L9" s="420"/>
      <c r="M9" s="420"/>
      <c r="N9" s="421"/>
      <c r="O9" s="249"/>
    </row>
    <row r="10" spans="1:16" ht="19.899999999999999" customHeight="1" x14ac:dyDescent="0.25">
      <c r="A10" s="427" t="s">
        <v>122</v>
      </c>
      <c r="B10" s="428"/>
      <c r="C10" s="429"/>
      <c r="D10" s="190">
        <v>202</v>
      </c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249"/>
    </row>
    <row r="11" spans="1:16" ht="19.899999999999999" customHeight="1" x14ac:dyDescent="0.25">
      <c r="A11" s="430" t="s">
        <v>66</v>
      </c>
      <c r="B11" s="433" t="s">
        <v>19</v>
      </c>
      <c r="C11" s="436" t="s">
        <v>8</v>
      </c>
      <c r="D11" s="433" t="s">
        <v>9</v>
      </c>
      <c r="E11" s="439" t="s">
        <v>11</v>
      </c>
      <c r="F11" s="440"/>
      <c r="G11" s="439" t="s">
        <v>13</v>
      </c>
      <c r="H11" s="440"/>
      <c r="I11" s="430" t="s">
        <v>16</v>
      </c>
      <c r="J11" s="430" t="s">
        <v>41</v>
      </c>
      <c r="K11" s="430" t="s">
        <v>42</v>
      </c>
      <c r="L11" s="430" t="s">
        <v>17</v>
      </c>
      <c r="M11" s="430" t="s">
        <v>55</v>
      </c>
      <c r="N11" s="430" t="s">
        <v>18</v>
      </c>
      <c r="O11" s="250"/>
    </row>
    <row r="12" spans="1:16" ht="19.899999999999999" customHeight="1" x14ac:dyDescent="0.25">
      <c r="A12" s="431"/>
      <c r="B12" s="434"/>
      <c r="C12" s="437"/>
      <c r="D12" s="434"/>
      <c r="E12" s="441"/>
      <c r="F12" s="442"/>
      <c r="G12" s="441"/>
      <c r="H12" s="442"/>
      <c r="I12" s="443"/>
      <c r="J12" s="443"/>
      <c r="K12" s="443"/>
      <c r="L12" s="443"/>
      <c r="M12" s="443"/>
      <c r="N12" s="431"/>
      <c r="O12" s="237"/>
    </row>
    <row r="13" spans="1:16" ht="19.899999999999999" customHeight="1" x14ac:dyDescent="0.25">
      <c r="A13" s="431"/>
      <c r="B13" s="434"/>
      <c r="C13" s="437"/>
      <c r="D13" s="434"/>
      <c r="E13" s="430" t="s">
        <v>10</v>
      </c>
      <c r="F13" s="430" t="s">
        <v>12</v>
      </c>
      <c r="G13" s="430" t="s">
        <v>14</v>
      </c>
      <c r="H13" s="430" t="s">
        <v>15</v>
      </c>
      <c r="I13" s="443"/>
      <c r="J13" s="443"/>
      <c r="K13" s="443"/>
      <c r="L13" s="443"/>
      <c r="M13" s="443"/>
      <c r="N13" s="431"/>
      <c r="O13" s="237"/>
    </row>
    <row r="14" spans="1:16" ht="19.899999999999999" customHeight="1" x14ac:dyDescent="0.25">
      <c r="A14" s="432"/>
      <c r="B14" s="435"/>
      <c r="C14" s="438"/>
      <c r="D14" s="435"/>
      <c r="E14" s="444"/>
      <c r="F14" s="444"/>
      <c r="G14" s="444"/>
      <c r="H14" s="444"/>
      <c r="I14" s="444"/>
      <c r="J14" s="444"/>
      <c r="K14" s="444"/>
      <c r="L14" s="444"/>
      <c r="M14" s="444"/>
      <c r="N14" s="432"/>
      <c r="O14" s="237"/>
    </row>
    <row r="15" spans="1:16" ht="19.899999999999999" customHeight="1" x14ac:dyDescent="0.25">
      <c r="A15" s="445" t="s">
        <v>34</v>
      </c>
      <c r="B15" s="446"/>
      <c r="C15" s="446"/>
      <c r="D15" s="446"/>
      <c r="E15" s="446"/>
      <c r="F15" s="446"/>
      <c r="G15" s="446"/>
      <c r="H15" s="446"/>
      <c r="I15" s="446"/>
      <c r="J15" s="446"/>
      <c r="K15" s="446"/>
      <c r="L15" s="446"/>
      <c r="M15" s="446"/>
      <c r="N15" s="447"/>
      <c r="O15" s="237"/>
    </row>
    <row r="16" spans="1:16" ht="21" customHeight="1" x14ac:dyDescent="0.25">
      <c r="A16" s="140">
        <v>1</v>
      </c>
      <c r="B16" s="126" t="s">
        <v>2</v>
      </c>
      <c r="C16" s="114">
        <f>L16/100*100</f>
        <v>260</v>
      </c>
      <c r="D16" s="117">
        <f>C16/100*60</f>
        <v>156</v>
      </c>
      <c r="E16" s="115">
        <f>C16/100*15</f>
        <v>39</v>
      </c>
      <c r="F16" s="115"/>
      <c r="G16" s="115"/>
      <c r="H16" s="115"/>
      <c r="I16" s="115"/>
      <c r="J16" s="192">
        <f>C16/100*387</f>
        <v>1006.2</v>
      </c>
      <c r="K16" s="192">
        <f>C16/100*0.09</f>
        <v>0.23399999999999999</v>
      </c>
      <c r="L16" s="116">
        <v>260</v>
      </c>
      <c r="M16" s="141">
        <v>20</v>
      </c>
      <c r="N16" s="114">
        <f>L16*M16</f>
        <v>5200</v>
      </c>
      <c r="O16" s="164"/>
    </row>
    <row r="17" spans="1:20" ht="21" customHeight="1" x14ac:dyDescent="0.25">
      <c r="A17" s="140">
        <v>2</v>
      </c>
      <c r="B17" s="128" t="s">
        <v>141</v>
      </c>
      <c r="C17" s="114">
        <f>L17/100*100</f>
        <v>850</v>
      </c>
      <c r="D17" s="117">
        <f>C17/100*899</f>
        <v>7641.5</v>
      </c>
      <c r="E17" s="115"/>
      <c r="F17" s="115"/>
      <c r="G17" s="115">
        <f>C17/100*100</f>
        <v>850</v>
      </c>
      <c r="H17" s="115"/>
      <c r="I17" s="115"/>
      <c r="J17" s="192"/>
      <c r="K17" s="192"/>
      <c r="L17" s="116">
        <v>850</v>
      </c>
      <c r="M17" s="141">
        <v>68</v>
      </c>
      <c r="N17" s="114">
        <f t="shared" ref="N17:N26" si="0">L17*M17</f>
        <v>57800</v>
      </c>
      <c r="O17" s="164"/>
    </row>
    <row r="18" spans="1:20" ht="21" customHeight="1" x14ac:dyDescent="0.25">
      <c r="A18" s="140">
        <v>3</v>
      </c>
      <c r="B18" s="127" t="s">
        <v>1</v>
      </c>
      <c r="C18" s="114">
        <f>L18/100*100</f>
        <v>19190</v>
      </c>
      <c r="D18" s="193">
        <f>C18/100*331</f>
        <v>63518.9</v>
      </c>
      <c r="E18" s="115"/>
      <c r="F18" s="194">
        <f>C18/100*7.9</f>
        <v>1516.0100000000002</v>
      </c>
      <c r="G18" s="115"/>
      <c r="H18" s="115">
        <f>C18/100*1</f>
        <v>191.9</v>
      </c>
      <c r="I18" s="118">
        <f>C18/100*75.9</f>
        <v>14565.210000000001</v>
      </c>
      <c r="J18" s="192">
        <f>C18/100*30</f>
        <v>5757</v>
      </c>
      <c r="K18" s="192">
        <f>C18/100*0.1</f>
        <v>19.190000000000001</v>
      </c>
      <c r="L18" s="116">
        <v>19190</v>
      </c>
      <c r="M18" s="141">
        <v>18</v>
      </c>
      <c r="N18" s="114">
        <f t="shared" si="0"/>
        <v>345420</v>
      </c>
      <c r="O18" s="164"/>
    </row>
    <row r="19" spans="1:20" ht="21" customHeight="1" x14ac:dyDescent="0.25">
      <c r="A19" s="140">
        <v>4</v>
      </c>
      <c r="B19" s="126" t="s">
        <v>71</v>
      </c>
      <c r="C19" s="114">
        <f>L19/100*98</f>
        <v>4233.6000000000004</v>
      </c>
      <c r="D19" s="117">
        <f>C19/100*139</f>
        <v>5884.7040000000006</v>
      </c>
      <c r="E19" s="118">
        <f>C19/100*19</f>
        <v>804.38400000000013</v>
      </c>
      <c r="F19" s="115"/>
      <c r="G19" s="115">
        <f>C19/100*7</f>
        <v>296.35200000000003</v>
      </c>
      <c r="H19" s="115"/>
      <c r="I19" s="115"/>
      <c r="J19" s="192">
        <f>C19/100*7</f>
        <v>296.35200000000003</v>
      </c>
      <c r="K19" s="192">
        <f>C19/100*0.9</f>
        <v>38.102400000000003</v>
      </c>
      <c r="L19" s="116">
        <v>4320</v>
      </c>
      <c r="M19" s="195">
        <v>130</v>
      </c>
      <c r="N19" s="114">
        <f t="shared" si="0"/>
        <v>561600</v>
      </c>
      <c r="O19" s="164"/>
    </row>
    <row r="20" spans="1:20" ht="21" customHeight="1" x14ac:dyDescent="0.25">
      <c r="A20" s="140">
        <v>5</v>
      </c>
      <c r="B20" s="126" t="s">
        <v>143</v>
      </c>
      <c r="C20" s="114">
        <f>L20/100*43</f>
        <v>1221.2</v>
      </c>
      <c r="D20" s="117">
        <f>C20/100*83</f>
        <v>1013.596</v>
      </c>
      <c r="E20" s="115">
        <f>C20/100*7.7</f>
        <v>94.032399999999996</v>
      </c>
      <c r="F20" s="115"/>
      <c r="G20" s="115">
        <f>C20/100*5.5</f>
        <v>67.165999999999997</v>
      </c>
      <c r="H20" s="115"/>
      <c r="I20" s="115"/>
      <c r="J20" s="192"/>
      <c r="K20" s="192"/>
      <c r="L20" s="116">
        <v>2840</v>
      </c>
      <c r="M20" s="195">
        <v>132</v>
      </c>
      <c r="N20" s="114">
        <f>L20*M20</f>
        <v>374880</v>
      </c>
      <c r="O20" s="164"/>
    </row>
    <row r="21" spans="1:20" ht="21" customHeight="1" x14ac:dyDescent="0.25">
      <c r="A21" s="140">
        <v>6</v>
      </c>
      <c r="B21" s="127" t="s">
        <v>30</v>
      </c>
      <c r="C21" s="114">
        <f>L21/100*88</f>
        <v>5007.2</v>
      </c>
      <c r="D21" s="117">
        <f>C21/100*184</f>
        <v>9213.2479999999996</v>
      </c>
      <c r="E21" s="118">
        <f>C21/100*13</f>
        <v>650.93599999999992</v>
      </c>
      <c r="F21" s="115"/>
      <c r="G21" s="115">
        <f>C21/100*14.2</f>
        <v>711.02239999999995</v>
      </c>
      <c r="H21" s="115"/>
      <c r="I21" s="115">
        <f>C21/100*1</f>
        <v>50.071999999999996</v>
      </c>
      <c r="J21" s="192">
        <f>C21/100*71</f>
        <v>3555.1119999999996</v>
      </c>
      <c r="K21" s="192">
        <f>C21/100*0.15</f>
        <v>7.5107999999999988</v>
      </c>
      <c r="L21" s="116">
        <v>5690</v>
      </c>
      <c r="M21" s="141">
        <v>62</v>
      </c>
      <c r="N21" s="114">
        <f t="shared" si="0"/>
        <v>352780</v>
      </c>
      <c r="O21" s="164"/>
      <c r="Q21" s="170"/>
      <c r="R21" s="170"/>
      <c r="S21" s="164"/>
    </row>
    <row r="22" spans="1:20" ht="21" customHeight="1" x14ac:dyDescent="0.25">
      <c r="A22" s="140">
        <v>7</v>
      </c>
      <c r="B22" s="126" t="s">
        <v>3</v>
      </c>
      <c r="C22" s="114">
        <f>L22/100*98</f>
        <v>1989.4</v>
      </c>
      <c r="D22" s="117">
        <f>C22/100*118</f>
        <v>2347.4920000000002</v>
      </c>
      <c r="E22" s="118">
        <f>C22/100*21</f>
        <v>417.77400000000006</v>
      </c>
      <c r="F22" s="115"/>
      <c r="G22" s="115">
        <f>C22/100*3.8</f>
        <v>75.597200000000001</v>
      </c>
      <c r="H22" s="115"/>
      <c r="I22" s="115"/>
      <c r="J22" s="115">
        <f>C22/100*12</f>
        <v>238.72800000000001</v>
      </c>
      <c r="K22" s="115">
        <f>C22/100*0.1</f>
        <v>1.9894000000000003</v>
      </c>
      <c r="L22" s="116">
        <v>2030</v>
      </c>
      <c r="M22" s="195">
        <v>250</v>
      </c>
      <c r="N22" s="114">
        <f t="shared" si="0"/>
        <v>507500</v>
      </c>
      <c r="O22" s="164"/>
    </row>
    <row r="23" spans="1:20" ht="21" customHeight="1" x14ac:dyDescent="0.25">
      <c r="A23" s="140">
        <v>8</v>
      </c>
      <c r="B23" s="127" t="s">
        <v>4</v>
      </c>
      <c r="C23" s="114">
        <f>L23/100*98.5</f>
        <v>2019.25</v>
      </c>
      <c r="D23" s="117">
        <f>C23/100*39</f>
        <v>787.50749999999994</v>
      </c>
      <c r="E23" s="181"/>
      <c r="F23" s="181">
        <f>C23/100*1.5</f>
        <v>30.28875</v>
      </c>
      <c r="G23" s="181"/>
      <c r="H23" s="181">
        <f>C23/100*0.2</f>
        <v>4.0385</v>
      </c>
      <c r="I23" s="181">
        <f>C23/100*7.8</f>
        <v>157.50149999999999</v>
      </c>
      <c r="J23" s="181">
        <f>C23/100*43</f>
        <v>868.27749999999992</v>
      </c>
      <c r="K23" s="181">
        <f>C23/100*0.06</f>
        <v>1.2115499999999999</v>
      </c>
      <c r="L23" s="161">
        <v>2050</v>
      </c>
      <c r="M23" s="116">
        <v>17</v>
      </c>
      <c r="N23" s="114">
        <f t="shared" si="0"/>
        <v>34850</v>
      </c>
      <c r="O23" s="164"/>
      <c r="Q23" s="170"/>
      <c r="R23" s="170"/>
      <c r="S23" s="164"/>
    </row>
    <row r="24" spans="1:20" ht="21" customHeight="1" x14ac:dyDescent="0.25">
      <c r="A24" s="140">
        <v>9</v>
      </c>
      <c r="B24" s="127" t="s">
        <v>142</v>
      </c>
      <c r="C24" s="114">
        <f>L24/100*87</f>
        <v>5307</v>
      </c>
      <c r="D24" s="117">
        <f>C24/100*21</f>
        <v>1114.47</v>
      </c>
      <c r="E24" s="181"/>
      <c r="F24" s="181">
        <f>C24/100*1.5</f>
        <v>79.605000000000004</v>
      </c>
      <c r="G24" s="181"/>
      <c r="H24" s="181">
        <f>C24/100*0.1</f>
        <v>5.3070000000000004</v>
      </c>
      <c r="I24" s="181">
        <f>C24/100*3.6</f>
        <v>191.05199999999999</v>
      </c>
      <c r="J24" s="181">
        <f>C24/100*40</f>
        <v>2122.8000000000002</v>
      </c>
      <c r="K24" s="181">
        <f>C24/100*0.06</f>
        <v>3.1841999999999997</v>
      </c>
      <c r="L24" s="161">
        <v>6100</v>
      </c>
      <c r="M24" s="116">
        <v>18</v>
      </c>
      <c r="N24" s="114">
        <f t="shared" si="0"/>
        <v>109800</v>
      </c>
      <c r="O24" s="164"/>
      <c r="Q24" s="170"/>
      <c r="R24" s="170"/>
      <c r="S24" s="164"/>
    </row>
    <row r="25" spans="1:20" ht="21" customHeight="1" x14ac:dyDescent="0.25">
      <c r="A25" s="196">
        <v>10</v>
      </c>
      <c r="B25" s="127" t="s">
        <v>75</v>
      </c>
      <c r="C25" s="114">
        <f>L25/100*75</f>
        <v>3052.5</v>
      </c>
      <c r="D25" s="117">
        <f>C25/100*12</f>
        <v>366.29999999999995</v>
      </c>
      <c r="E25" s="115"/>
      <c r="F25" s="115">
        <f>C25/100*0.6</f>
        <v>18.314999999999998</v>
      </c>
      <c r="G25" s="115"/>
      <c r="H25" s="115"/>
      <c r="I25" s="115">
        <f>C25/100*2.4</f>
        <v>73.259999999999991</v>
      </c>
      <c r="J25" s="115">
        <f>C25/100*26</f>
        <v>793.65</v>
      </c>
      <c r="K25" s="115">
        <f>C25/100*0.02</f>
        <v>0.61049999999999993</v>
      </c>
      <c r="L25" s="116">
        <v>4070</v>
      </c>
      <c r="M25" s="141">
        <v>30</v>
      </c>
      <c r="N25" s="114">
        <f t="shared" si="0"/>
        <v>122100</v>
      </c>
      <c r="O25" s="164"/>
    </row>
    <row r="26" spans="1:20" ht="21" customHeight="1" x14ac:dyDescent="0.25">
      <c r="A26" s="196">
        <v>11</v>
      </c>
      <c r="B26" s="127" t="s">
        <v>136</v>
      </c>
      <c r="C26" s="114">
        <f>L26/100*100</f>
        <v>210</v>
      </c>
      <c r="D26" s="117">
        <f>C26/100*247</f>
        <v>518.70000000000005</v>
      </c>
      <c r="E26" s="181"/>
      <c r="F26" s="181">
        <f>C26/100*17.5</f>
        <v>36.75</v>
      </c>
      <c r="G26" s="181"/>
      <c r="H26" s="181">
        <f>C26/100*1.6</f>
        <v>3.3600000000000003</v>
      </c>
      <c r="I26" s="181">
        <f>C26/100*39.2</f>
        <v>82.320000000000007</v>
      </c>
      <c r="J26" s="197"/>
      <c r="K26" s="197"/>
      <c r="L26" s="161">
        <v>210</v>
      </c>
      <c r="M26" s="141">
        <v>50</v>
      </c>
      <c r="N26" s="114">
        <f t="shared" si="0"/>
        <v>10500</v>
      </c>
      <c r="O26" s="164"/>
      <c r="Q26" s="170"/>
      <c r="R26" s="170"/>
      <c r="S26" s="164"/>
      <c r="T26" s="170"/>
    </row>
    <row r="27" spans="1:20" ht="21" customHeight="1" x14ac:dyDescent="0.25">
      <c r="A27" s="196">
        <v>12</v>
      </c>
      <c r="B27" s="198" t="s">
        <v>123</v>
      </c>
      <c r="C27" s="114"/>
      <c r="D27" s="117"/>
      <c r="E27" s="115"/>
      <c r="F27" s="115"/>
      <c r="G27" s="115"/>
      <c r="H27" s="115"/>
      <c r="I27" s="115"/>
      <c r="J27" s="192"/>
      <c r="K27" s="192"/>
      <c r="L27" s="116"/>
      <c r="M27" s="116"/>
      <c r="N27" s="114">
        <v>15750</v>
      </c>
      <c r="O27" s="164"/>
    </row>
    <row r="28" spans="1:20" ht="21" customHeight="1" x14ac:dyDescent="0.25">
      <c r="A28" s="199" t="s">
        <v>120</v>
      </c>
      <c r="B28" s="200"/>
      <c r="C28" s="201"/>
      <c r="D28" s="202">
        <f>SUM(D16:D27)</f>
        <v>92562.41750000001</v>
      </c>
      <c r="E28" s="203"/>
      <c r="F28" s="203"/>
      <c r="G28" s="203"/>
      <c r="H28" s="203"/>
      <c r="I28" s="203"/>
      <c r="J28" s="203"/>
      <c r="K28" s="203"/>
      <c r="L28" s="204"/>
      <c r="M28" s="205"/>
      <c r="N28" s="448">
        <f>SUM(N16:N27)</f>
        <v>2498180</v>
      </c>
      <c r="O28" s="164"/>
    </row>
    <row r="29" spans="1:20" ht="21" customHeight="1" x14ac:dyDescent="0.25">
      <c r="A29" s="199" t="s">
        <v>6</v>
      </c>
      <c r="B29" s="200"/>
      <c r="C29" s="201"/>
      <c r="D29" s="206">
        <f>D28/D10</f>
        <v>458.22978960396046</v>
      </c>
      <c r="E29" s="203"/>
      <c r="F29" s="203"/>
      <c r="G29" s="203"/>
      <c r="H29" s="203"/>
      <c r="I29" s="203"/>
      <c r="J29" s="203"/>
      <c r="K29" s="203"/>
      <c r="L29" s="204"/>
      <c r="M29" s="207"/>
      <c r="N29" s="449"/>
      <c r="O29" s="164"/>
    </row>
    <row r="30" spans="1:20" ht="21" customHeight="1" x14ac:dyDescent="0.25">
      <c r="A30" s="450" t="s">
        <v>51</v>
      </c>
      <c r="B30" s="451"/>
      <c r="C30" s="251" t="s">
        <v>151</v>
      </c>
      <c r="D30" s="208" t="s">
        <v>45</v>
      </c>
      <c r="E30" s="203"/>
      <c r="F30" s="203"/>
      <c r="G30" s="203"/>
      <c r="H30" s="203"/>
      <c r="I30" s="203"/>
      <c r="J30" s="203"/>
      <c r="K30" s="203"/>
      <c r="L30" s="204"/>
      <c r="M30" s="204"/>
      <c r="N30" s="209"/>
      <c r="O30" s="164"/>
    </row>
    <row r="31" spans="1:20" ht="21" customHeight="1" x14ac:dyDescent="0.25">
      <c r="A31" s="452"/>
      <c r="B31" s="453"/>
      <c r="C31" s="210" t="s">
        <v>60</v>
      </c>
      <c r="D31" s="208">
        <f>D29*100/1320</f>
        <v>34.714378000300037</v>
      </c>
      <c r="E31" s="203"/>
      <c r="F31" s="203"/>
      <c r="G31" s="203"/>
      <c r="H31" s="203"/>
      <c r="I31" s="203"/>
      <c r="J31" s="203"/>
      <c r="K31" s="203"/>
      <c r="L31" s="204"/>
      <c r="M31" s="204"/>
      <c r="N31" s="209"/>
      <c r="O31" s="164"/>
    </row>
    <row r="32" spans="1:20" ht="21" customHeight="1" x14ac:dyDescent="0.3">
      <c r="A32" s="454" t="s">
        <v>35</v>
      </c>
      <c r="B32" s="454"/>
      <c r="C32" s="211"/>
      <c r="D32" s="212"/>
      <c r="E32" s="213"/>
      <c r="F32" s="213"/>
      <c r="G32" s="213"/>
      <c r="H32" s="213"/>
      <c r="I32" s="213"/>
      <c r="J32" s="213"/>
      <c r="K32" s="213"/>
      <c r="L32" s="214"/>
      <c r="M32" s="214"/>
      <c r="N32" s="215"/>
      <c r="O32" s="164"/>
    </row>
    <row r="33" spans="1:20" ht="21" customHeight="1" x14ac:dyDescent="0.25">
      <c r="A33" s="140">
        <v>1</v>
      </c>
      <c r="B33" s="126" t="s">
        <v>2</v>
      </c>
      <c r="C33" s="114">
        <f>L33/100*100</f>
        <v>240</v>
      </c>
      <c r="D33" s="117">
        <f>C33/100*60</f>
        <v>144</v>
      </c>
      <c r="E33" s="115">
        <f>C33/100*15</f>
        <v>36</v>
      </c>
      <c r="F33" s="115"/>
      <c r="G33" s="115"/>
      <c r="H33" s="115"/>
      <c r="I33" s="115"/>
      <c r="J33" s="192">
        <f>C33/100*387</f>
        <v>928.8</v>
      </c>
      <c r="K33" s="192">
        <f>C33/100*0.09</f>
        <v>0.216</v>
      </c>
      <c r="L33" s="116">
        <v>240</v>
      </c>
      <c r="M33" s="141">
        <v>20</v>
      </c>
      <c r="N33" s="114">
        <f>L33*M33</f>
        <v>4800</v>
      </c>
      <c r="O33" s="164"/>
    </row>
    <row r="34" spans="1:20" ht="20.45" customHeight="1" x14ac:dyDescent="0.25">
      <c r="A34" s="140">
        <v>2</v>
      </c>
      <c r="B34" s="127" t="s">
        <v>73</v>
      </c>
      <c r="C34" s="114">
        <f>L34/100*100</f>
        <v>5660</v>
      </c>
      <c r="D34" s="193">
        <f>C34/100*344</f>
        <v>19470.400000000001</v>
      </c>
      <c r="E34" s="115"/>
      <c r="F34" s="118">
        <f>C34/100*8.6</f>
        <v>486.76</v>
      </c>
      <c r="G34" s="115"/>
      <c r="H34" s="115">
        <f>C34/100*1.5</f>
        <v>84.9</v>
      </c>
      <c r="I34" s="115">
        <f>C34/100*74.5</f>
        <v>4216.7</v>
      </c>
      <c r="J34" s="115">
        <f>C34/100*32</f>
        <v>1811.2</v>
      </c>
      <c r="K34" s="115">
        <f>C34/100*0.14</f>
        <v>7.9240000000000013</v>
      </c>
      <c r="L34" s="116">
        <v>5660</v>
      </c>
      <c r="M34" s="141">
        <v>30</v>
      </c>
      <c r="N34" s="114">
        <f t="shared" ref="N34:N40" si="1">L34*M34</f>
        <v>169800</v>
      </c>
      <c r="O34" s="164"/>
      <c r="P34" s="252"/>
    </row>
    <row r="35" spans="1:20" ht="21" customHeight="1" x14ac:dyDescent="0.25">
      <c r="A35" s="140">
        <v>3</v>
      </c>
      <c r="B35" s="128" t="s">
        <v>141</v>
      </c>
      <c r="C35" s="114">
        <f>L35/100*100</f>
        <v>470</v>
      </c>
      <c r="D35" s="117">
        <f>C35/100*899</f>
        <v>4225.3</v>
      </c>
      <c r="E35" s="115"/>
      <c r="F35" s="115"/>
      <c r="G35" s="115">
        <f>C35/100*100</f>
        <v>470</v>
      </c>
      <c r="H35" s="115"/>
      <c r="I35" s="115"/>
      <c r="J35" s="115"/>
      <c r="K35" s="115"/>
      <c r="L35" s="116">
        <v>470</v>
      </c>
      <c r="M35" s="216">
        <v>68</v>
      </c>
      <c r="N35" s="114">
        <f t="shared" si="1"/>
        <v>31960</v>
      </c>
      <c r="O35" s="253"/>
    </row>
    <row r="36" spans="1:20" ht="19.149999999999999" customHeight="1" x14ac:dyDescent="0.25">
      <c r="A36" s="140">
        <v>4</v>
      </c>
      <c r="B36" s="126" t="s">
        <v>146</v>
      </c>
      <c r="C36" s="114">
        <f>L36/100*100</f>
        <v>890</v>
      </c>
      <c r="D36" s="193">
        <f>C36/100*900</f>
        <v>8010</v>
      </c>
      <c r="E36" s="115"/>
      <c r="F36" s="115"/>
      <c r="G36" s="118"/>
      <c r="H36" s="115">
        <f>C36/100*100</f>
        <v>890</v>
      </c>
      <c r="I36" s="115"/>
      <c r="J36" s="115"/>
      <c r="K36" s="115"/>
      <c r="L36" s="116">
        <v>890</v>
      </c>
      <c r="M36" s="141">
        <v>63.5</v>
      </c>
      <c r="N36" s="114">
        <f t="shared" si="1"/>
        <v>56515</v>
      </c>
      <c r="O36" s="253"/>
    </row>
    <row r="37" spans="1:20" ht="21" customHeight="1" x14ac:dyDescent="0.25">
      <c r="A37" s="140">
        <v>5</v>
      </c>
      <c r="B37" s="127" t="s">
        <v>136</v>
      </c>
      <c r="C37" s="114">
        <f>L37/100*100</f>
        <v>130</v>
      </c>
      <c r="D37" s="117">
        <f>C37/100*247</f>
        <v>321.10000000000002</v>
      </c>
      <c r="E37" s="181"/>
      <c r="F37" s="181">
        <f>C37/100*17.5</f>
        <v>22.75</v>
      </c>
      <c r="G37" s="181"/>
      <c r="H37" s="181">
        <f>C37/100*1.6</f>
        <v>2.08</v>
      </c>
      <c r="I37" s="181">
        <f>C37/100*39.2</f>
        <v>50.960000000000008</v>
      </c>
      <c r="J37" s="197"/>
      <c r="K37" s="197"/>
      <c r="L37" s="161">
        <v>130</v>
      </c>
      <c r="M37" s="141">
        <v>50</v>
      </c>
      <c r="N37" s="114">
        <f t="shared" si="1"/>
        <v>6500</v>
      </c>
      <c r="O37" s="164"/>
      <c r="Q37" s="170"/>
      <c r="R37" s="170"/>
      <c r="S37" s="164"/>
      <c r="T37" s="170"/>
    </row>
    <row r="38" spans="1:20" ht="20.45" customHeight="1" x14ac:dyDescent="0.25">
      <c r="A38" s="140">
        <v>6</v>
      </c>
      <c r="B38" s="127" t="s">
        <v>189</v>
      </c>
      <c r="C38" s="114">
        <f>L38/100*20</f>
        <v>1016</v>
      </c>
      <c r="D38" s="117">
        <f>C38/100*26</f>
        <v>264.16000000000003</v>
      </c>
      <c r="E38" s="115"/>
      <c r="F38" s="115">
        <f>C38/100*0.4</f>
        <v>4.0640000000000001</v>
      </c>
      <c r="G38" s="115"/>
      <c r="H38" s="115">
        <f>C38/100*1.6</f>
        <v>16.256</v>
      </c>
      <c r="I38" s="115">
        <f>C38/100*2.1</f>
        <v>21.336000000000002</v>
      </c>
      <c r="J38" s="115"/>
      <c r="K38" s="115"/>
      <c r="L38" s="182">
        <v>5080</v>
      </c>
      <c r="M38" s="141">
        <v>25</v>
      </c>
      <c r="N38" s="114">
        <f t="shared" si="1"/>
        <v>127000</v>
      </c>
      <c r="O38" s="164"/>
      <c r="P38" s="170"/>
    </row>
    <row r="39" spans="1:20" ht="21" customHeight="1" x14ac:dyDescent="0.25">
      <c r="A39" s="140">
        <v>7</v>
      </c>
      <c r="B39" s="126" t="s">
        <v>71</v>
      </c>
      <c r="C39" s="114">
        <f>L39/100*98</f>
        <v>4968.6000000000004</v>
      </c>
      <c r="D39" s="117">
        <f>C39/100*139</f>
        <v>6906.3540000000012</v>
      </c>
      <c r="E39" s="118">
        <f>C39/100*19</f>
        <v>944.03400000000011</v>
      </c>
      <c r="F39" s="118"/>
      <c r="G39" s="115">
        <f>C39/100*7</f>
        <v>347.80200000000002</v>
      </c>
      <c r="H39" s="115"/>
      <c r="I39" s="115"/>
      <c r="J39" s="192">
        <f>C39/100*7</f>
        <v>347.80200000000002</v>
      </c>
      <c r="K39" s="192">
        <f>C39/100*0.9</f>
        <v>44.717400000000005</v>
      </c>
      <c r="L39" s="116">
        <v>5070</v>
      </c>
      <c r="M39" s="195">
        <v>130</v>
      </c>
      <c r="N39" s="114">
        <f t="shared" si="1"/>
        <v>659100</v>
      </c>
      <c r="O39" s="164"/>
    </row>
    <row r="40" spans="1:20" ht="20.45" customHeight="1" x14ac:dyDescent="0.25">
      <c r="A40" s="140">
        <v>8</v>
      </c>
      <c r="B40" s="127" t="s">
        <v>76</v>
      </c>
      <c r="C40" s="114">
        <f>L40/100*80</f>
        <v>21928</v>
      </c>
      <c r="D40" s="117">
        <f>C40/100*40</f>
        <v>8771.2000000000007</v>
      </c>
      <c r="E40" s="118"/>
      <c r="F40" s="118">
        <f>C40/100*1.3</f>
        <v>285.06400000000002</v>
      </c>
      <c r="G40" s="115"/>
      <c r="H40" s="115"/>
      <c r="I40" s="115">
        <f>C40/100*2.8</f>
        <v>613.98399999999992</v>
      </c>
      <c r="J40" s="115">
        <f>C40/100*11</f>
        <v>2412.08</v>
      </c>
      <c r="K40" s="115"/>
      <c r="L40" s="182">
        <v>27410</v>
      </c>
      <c r="M40" s="141">
        <v>32</v>
      </c>
      <c r="N40" s="114">
        <f t="shared" si="1"/>
        <v>877120</v>
      </c>
      <c r="O40" s="164"/>
      <c r="P40" s="170"/>
    </row>
    <row r="41" spans="1:20" ht="21" customHeight="1" x14ac:dyDescent="0.25">
      <c r="A41" s="217">
        <v>9</v>
      </c>
      <c r="B41" s="218" t="s">
        <v>123</v>
      </c>
      <c r="C41" s="219"/>
      <c r="D41" s="163"/>
      <c r="E41" s="220"/>
      <c r="F41" s="220"/>
      <c r="G41" s="220"/>
      <c r="H41" s="220"/>
      <c r="I41" s="220"/>
      <c r="J41" s="220"/>
      <c r="K41" s="220"/>
      <c r="L41" s="254"/>
      <c r="M41" s="254"/>
      <c r="N41" s="219">
        <v>13000</v>
      </c>
      <c r="O41" s="164"/>
    </row>
    <row r="42" spans="1:20" ht="19.899999999999999" customHeight="1" x14ac:dyDescent="0.25">
      <c r="A42" s="430" t="s">
        <v>66</v>
      </c>
      <c r="B42" s="433" t="s">
        <v>19</v>
      </c>
      <c r="C42" s="436" t="s">
        <v>8</v>
      </c>
      <c r="D42" s="433" t="s">
        <v>9</v>
      </c>
      <c r="E42" s="439" t="s">
        <v>11</v>
      </c>
      <c r="F42" s="440"/>
      <c r="G42" s="439" t="s">
        <v>13</v>
      </c>
      <c r="H42" s="440"/>
      <c r="I42" s="430" t="s">
        <v>16</v>
      </c>
      <c r="J42" s="430" t="s">
        <v>41</v>
      </c>
      <c r="K42" s="430" t="s">
        <v>42</v>
      </c>
      <c r="L42" s="430" t="s">
        <v>17</v>
      </c>
      <c r="M42" s="430" t="s">
        <v>55</v>
      </c>
      <c r="N42" s="430" t="s">
        <v>18</v>
      </c>
      <c r="O42" s="250"/>
    </row>
    <row r="43" spans="1:20" ht="19.899999999999999" customHeight="1" x14ac:dyDescent="0.25">
      <c r="A43" s="431"/>
      <c r="B43" s="434"/>
      <c r="C43" s="437"/>
      <c r="D43" s="434"/>
      <c r="E43" s="441"/>
      <c r="F43" s="442"/>
      <c r="G43" s="441"/>
      <c r="H43" s="442"/>
      <c r="I43" s="443"/>
      <c r="J43" s="443"/>
      <c r="K43" s="443"/>
      <c r="L43" s="443"/>
      <c r="M43" s="443"/>
      <c r="N43" s="431"/>
      <c r="O43" s="237"/>
    </row>
    <row r="44" spans="1:20" ht="19.899999999999999" customHeight="1" x14ac:dyDescent="0.25">
      <c r="A44" s="431"/>
      <c r="B44" s="434"/>
      <c r="C44" s="437"/>
      <c r="D44" s="434"/>
      <c r="E44" s="430" t="s">
        <v>10</v>
      </c>
      <c r="F44" s="430" t="s">
        <v>12</v>
      </c>
      <c r="G44" s="430" t="s">
        <v>14</v>
      </c>
      <c r="H44" s="430" t="s">
        <v>15</v>
      </c>
      <c r="I44" s="443"/>
      <c r="J44" s="443"/>
      <c r="K44" s="443"/>
      <c r="L44" s="443"/>
      <c r="M44" s="443"/>
      <c r="N44" s="431"/>
      <c r="O44" s="237"/>
    </row>
    <row r="45" spans="1:20" ht="19.899999999999999" customHeight="1" x14ac:dyDescent="0.25">
      <c r="A45" s="432"/>
      <c r="B45" s="435"/>
      <c r="C45" s="438"/>
      <c r="D45" s="435"/>
      <c r="E45" s="444"/>
      <c r="F45" s="444"/>
      <c r="G45" s="444"/>
      <c r="H45" s="444"/>
      <c r="I45" s="444"/>
      <c r="J45" s="444"/>
      <c r="K45" s="444"/>
      <c r="L45" s="444"/>
      <c r="M45" s="444"/>
      <c r="N45" s="432"/>
      <c r="O45" s="237"/>
    </row>
    <row r="46" spans="1:20" ht="19.149999999999999" customHeight="1" x14ac:dyDescent="0.25">
      <c r="A46" s="199" t="s">
        <v>110</v>
      </c>
      <c r="B46" s="200"/>
      <c r="C46" s="201"/>
      <c r="D46" s="202">
        <f>SUM(D33:D41)</f>
        <v>48112.513999999996</v>
      </c>
      <c r="E46" s="221"/>
      <c r="F46" s="221"/>
      <c r="G46" s="221"/>
      <c r="H46" s="221"/>
      <c r="I46" s="221"/>
      <c r="J46" s="221"/>
      <c r="K46" s="221"/>
      <c r="L46" s="222"/>
      <c r="M46" s="455"/>
      <c r="N46" s="448">
        <f>SUM(N33:N41)</f>
        <v>1945795</v>
      </c>
      <c r="O46" s="164"/>
    </row>
    <row r="47" spans="1:20" ht="19.149999999999999" customHeight="1" x14ac:dyDescent="0.25">
      <c r="A47" s="199" t="s">
        <v>7</v>
      </c>
      <c r="B47" s="200"/>
      <c r="C47" s="223"/>
      <c r="D47" s="224">
        <f>D46/D10</f>
        <v>238.1807623762376</v>
      </c>
      <c r="E47" s="224"/>
      <c r="F47" s="224"/>
      <c r="G47" s="224"/>
      <c r="H47" s="224"/>
      <c r="I47" s="224"/>
      <c r="J47" s="224"/>
      <c r="K47" s="224"/>
      <c r="L47" s="222"/>
      <c r="M47" s="456"/>
      <c r="N47" s="449"/>
      <c r="O47" s="164"/>
    </row>
    <row r="48" spans="1:20" ht="19.149999999999999" customHeight="1" x14ac:dyDescent="0.25">
      <c r="A48" s="450" t="s">
        <v>52</v>
      </c>
      <c r="B48" s="451"/>
      <c r="C48" s="251" t="s">
        <v>151</v>
      </c>
      <c r="D48" s="208" t="s">
        <v>58</v>
      </c>
      <c r="E48" s="224"/>
      <c r="F48" s="224"/>
      <c r="G48" s="224"/>
      <c r="H48" s="224"/>
      <c r="I48" s="224"/>
      <c r="J48" s="225"/>
      <c r="K48" s="225"/>
      <c r="L48" s="222"/>
      <c r="M48" s="222"/>
      <c r="N48" s="226"/>
      <c r="O48" s="164"/>
    </row>
    <row r="49" spans="1:22" ht="19.149999999999999" customHeight="1" x14ac:dyDescent="0.25">
      <c r="A49" s="452"/>
      <c r="B49" s="453"/>
      <c r="C49" s="210" t="s">
        <v>60</v>
      </c>
      <c r="D49" s="208">
        <f>D47*100/1320</f>
        <v>18.043997149714968</v>
      </c>
      <c r="E49" s="224"/>
      <c r="F49" s="224"/>
      <c r="G49" s="224"/>
      <c r="H49" s="224"/>
      <c r="I49" s="224"/>
      <c r="J49" s="225"/>
      <c r="K49" s="225"/>
      <c r="L49" s="222"/>
      <c r="M49" s="222"/>
      <c r="N49" s="226"/>
      <c r="O49" s="164"/>
    </row>
    <row r="50" spans="1:22" ht="19.149999999999999" customHeight="1" x14ac:dyDescent="0.25">
      <c r="A50" s="439" t="s">
        <v>107</v>
      </c>
      <c r="B50" s="440"/>
      <c r="C50" s="457"/>
      <c r="D50" s="459">
        <f>D28+D46</f>
        <v>140674.93150000001</v>
      </c>
      <c r="E50" s="227">
        <f>SUM(E16:E41)</f>
        <v>2986.1604000000002</v>
      </c>
      <c r="F50" s="227">
        <f t="shared" ref="F50:H50" si="2">SUM(F16:F41)</f>
        <v>2479.6067499999999</v>
      </c>
      <c r="G50" s="227">
        <f t="shared" si="2"/>
        <v>2817.9396000000002</v>
      </c>
      <c r="H50" s="227">
        <f t="shared" si="2"/>
        <v>1197.8415</v>
      </c>
      <c r="I50" s="461">
        <f>SUM(I16:I41)</f>
        <v>20022.395499999999</v>
      </c>
      <c r="J50" s="461">
        <f>SUM(J16:J41)</f>
        <v>20138.001499999998</v>
      </c>
      <c r="K50" s="464">
        <f>SUM(K16:K41)</f>
        <v>124.89025000000001</v>
      </c>
      <c r="L50" s="466"/>
      <c r="M50" s="466"/>
      <c r="N50" s="467">
        <f>N28+N46</f>
        <v>4443975</v>
      </c>
    </row>
    <row r="51" spans="1:22" ht="19.149999999999999" customHeight="1" x14ac:dyDescent="0.25">
      <c r="A51" s="441"/>
      <c r="B51" s="442"/>
      <c r="C51" s="458"/>
      <c r="D51" s="460"/>
      <c r="E51" s="468">
        <f>E50+F50</f>
        <v>5465.7671499999997</v>
      </c>
      <c r="F51" s="469"/>
      <c r="G51" s="388">
        <f>G50+H50</f>
        <v>4015.7811000000002</v>
      </c>
      <c r="H51" s="389"/>
      <c r="I51" s="462"/>
      <c r="J51" s="463"/>
      <c r="K51" s="465"/>
      <c r="L51" s="466"/>
      <c r="M51" s="466"/>
      <c r="N51" s="467"/>
    </row>
    <row r="52" spans="1:22" ht="19.149999999999999" customHeight="1" x14ac:dyDescent="0.25">
      <c r="A52" s="470" t="s">
        <v>77</v>
      </c>
      <c r="B52" s="471"/>
      <c r="C52" s="472"/>
      <c r="D52" s="120">
        <f>D50/D10</f>
        <v>696.41055198019808</v>
      </c>
      <c r="E52" s="165">
        <f>E50/D10</f>
        <v>14.782972277227724</v>
      </c>
      <c r="F52" s="178">
        <f>F50/D10</f>
        <v>12.275280940594058</v>
      </c>
      <c r="G52" s="165">
        <f>G50/D10</f>
        <v>13.950196039603961</v>
      </c>
      <c r="H52" s="175">
        <f>H50/D10</f>
        <v>5.9299084158415845</v>
      </c>
      <c r="I52" s="476">
        <f>I50/D10</f>
        <v>99.120769801980188</v>
      </c>
      <c r="J52" s="478">
        <f>J50/D10</f>
        <v>99.693076732673262</v>
      </c>
      <c r="K52" s="478">
        <f>K50/D10</f>
        <v>0.61826856435643573</v>
      </c>
      <c r="L52" s="466"/>
      <c r="M52" s="466"/>
      <c r="N52" s="467"/>
    </row>
    <row r="53" spans="1:22" ht="19.149999999999999" customHeight="1" x14ac:dyDescent="0.25">
      <c r="A53" s="473"/>
      <c r="B53" s="474"/>
      <c r="C53" s="475"/>
      <c r="D53" s="184"/>
      <c r="E53" s="369">
        <f>E52+F52</f>
        <v>27.058253217821782</v>
      </c>
      <c r="F53" s="370"/>
      <c r="G53" s="369">
        <f>G52+H52</f>
        <v>19.880104455445547</v>
      </c>
      <c r="H53" s="370"/>
      <c r="I53" s="477"/>
      <c r="J53" s="478"/>
      <c r="K53" s="478"/>
      <c r="L53" s="466"/>
      <c r="M53" s="466"/>
      <c r="N53" s="467"/>
      <c r="Q53" s="333"/>
      <c r="R53" s="333"/>
      <c r="S53" s="333"/>
      <c r="T53" s="333"/>
      <c r="U53" s="346"/>
      <c r="V53" s="346"/>
    </row>
    <row r="54" spans="1:22" ht="19.149999999999999" customHeight="1" x14ac:dyDescent="0.25">
      <c r="A54" s="487" t="s">
        <v>80</v>
      </c>
      <c r="B54" s="488"/>
      <c r="C54" s="489"/>
      <c r="D54" s="189" t="s">
        <v>28</v>
      </c>
      <c r="E54" s="410" t="s">
        <v>21</v>
      </c>
      <c r="F54" s="410"/>
      <c r="G54" s="410" t="s">
        <v>22</v>
      </c>
      <c r="H54" s="410"/>
      <c r="I54" s="189" t="s">
        <v>23</v>
      </c>
      <c r="J54" s="255">
        <v>600</v>
      </c>
      <c r="K54" s="255">
        <v>0.7</v>
      </c>
      <c r="L54" s="466"/>
      <c r="M54" s="466"/>
      <c r="N54" s="467"/>
      <c r="O54" s="256"/>
      <c r="P54" s="167"/>
      <c r="Q54" s="333"/>
      <c r="R54" s="333"/>
      <c r="S54" s="333"/>
      <c r="T54" s="333"/>
      <c r="U54" s="333"/>
      <c r="V54" s="333"/>
    </row>
    <row r="55" spans="1:22" ht="19.149999999999999" customHeight="1" x14ac:dyDescent="0.25">
      <c r="A55" s="479" t="s">
        <v>78</v>
      </c>
      <c r="B55" s="480"/>
      <c r="C55" s="481"/>
      <c r="D55" s="228"/>
      <c r="E55" s="482">
        <f>E53*4.1</f>
        <v>110.9388381930693</v>
      </c>
      <c r="F55" s="483"/>
      <c r="G55" s="482">
        <f>G53*9</f>
        <v>178.92094009900993</v>
      </c>
      <c r="H55" s="483"/>
      <c r="I55" s="229">
        <f>I52*4.1</f>
        <v>406.39515618811873</v>
      </c>
      <c r="J55" s="484"/>
      <c r="K55" s="484"/>
      <c r="L55" s="466"/>
      <c r="M55" s="466"/>
      <c r="N55" s="467"/>
      <c r="O55" s="256"/>
      <c r="P55" s="170"/>
      <c r="Q55" s="155"/>
      <c r="R55" s="155"/>
      <c r="S55" s="155"/>
    </row>
    <row r="56" spans="1:22" ht="19.149999999999999" customHeight="1" x14ac:dyDescent="0.25">
      <c r="A56" s="490" t="s">
        <v>87</v>
      </c>
      <c r="B56" s="491"/>
      <c r="C56" s="479" t="s">
        <v>59</v>
      </c>
      <c r="D56" s="481"/>
      <c r="E56" s="323">
        <f>E55*100/D52</f>
        <v>15.930091506744395</v>
      </c>
      <c r="F56" s="324"/>
      <c r="G56" s="323">
        <f>G55*100/D52</f>
        <v>25.69187666531759</v>
      </c>
      <c r="H56" s="324"/>
      <c r="I56" s="230">
        <f>I55*100/D52</f>
        <v>58.355686172841658</v>
      </c>
      <c r="J56" s="485"/>
      <c r="K56" s="485"/>
      <c r="L56" s="466"/>
      <c r="M56" s="466"/>
      <c r="N56" s="467"/>
      <c r="O56" s="256"/>
    </row>
    <row r="57" spans="1:22" ht="19.149999999999999" customHeight="1" x14ac:dyDescent="0.25">
      <c r="A57" s="492"/>
      <c r="B57" s="493"/>
      <c r="C57" s="479" t="s">
        <v>79</v>
      </c>
      <c r="D57" s="481"/>
      <c r="E57" s="479" t="s">
        <v>82</v>
      </c>
      <c r="F57" s="481"/>
      <c r="G57" s="479" t="s">
        <v>83</v>
      </c>
      <c r="H57" s="481"/>
      <c r="I57" s="189" t="s">
        <v>84</v>
      </c>
      <c r="J57" s="486"/>
      <c r="K57" s="486"/>
      <c r="L57" s="466"/>
      <c r="M57" s="466"/>
      <c r="N57" s="467"/>
      <c r="O57" s="256"/>
    </row>
    <row r="58" spans="1:22" ht="19.149999999999999" customHeight="1" x14ac:dyDescent="0.25">
      <c r="A58" s="232"/>
      <c r="B58" s="232"/>
      <c r="C58" s="232"/>
      <c r="D58" s="232"/>
      <c r="E58" s="232"/>
      <c r="F58" s="232"/>
      <c r="G58" s="232"/>
      <c r="H58" s="232"/>
      <c r="I58" s="232"/>
      <c r="J58" s="232"/>
      <c r="K58" s="232"/>
      <c r="L58" s="233"/>
      <c r="M58" s="233"/>
      <c r="N58" s="234"/>
      <c r="O58" s="256"/>
      <c r="P58" s="170"/>
    </row>
    <row r="59" spans="1:22" ht="21" customHeight="1" x14ac:dyDescent="0.25">
      <c r="A59" s="494" t="s">
        <v>114</v>
      </c>
      <c r="B59" s="494"/>
      <c r="C59" s="494"/>
      <c r="D59" s="494"/>
      <c r="E59" s="494"/>
      <c r="F59" s="494"/>
      <c r="G59" s="494"/>
      <c r="H59" s="494"/>
      <c r="I59" s="494"/>
      <c r="J59" s="494"/>
      <c r="K59" s="494"/>
      <c r="L59" s="494"/>
      <c r="M59" s="494"/>
      <c r="N59" s="494"/>
      <c r="O59" s="256"/>
    </row>
    <row r="60" spans="1:22" ht="21" customHeight="1" x14ac:dyDescent="0.25">
      <c r="A60" s="235" t="s">
        <v>115</v>
      </c>
      <c r="B60" s="495" t="s">
        <v>116</v>
      </c>
      <c r="C60" s="495"/>
      <c r="D60" s="495"/>
      <c r="E60" s="495"/>
      <c r="F60" s="495"/>
      <c r="G60" s="495"/>
      <c r="H60" s="495"/>
      <c r="I60" s="495"/>
      <c r="J60" s="495"/>
      <c r="K60" s="495"/>
      <c r="L60" s="495"/>
      <c r="M60" s="495"/>
      <c r="N60" s="495"/>
      <c r="O60" s="256"/>
    </row>
    <row r="61" spans="1:22" ht="21" customHeight="1" x14ac:dyDescent="0.25">
      <c r="A61" s="236"/>
      <c r="B61" s="496" t="s">
        <v>212</v>
      </c>
      <c r="C61" s="496"/>
      <c r="D61" s="496"/>
      <c r="E61" s="496"/>
      <c r="F61" s="496"/>
      <c r="G61" s="496"/>
      <c r="H61" s="496"/>
      <c r="I61" s="496"/>
      <c r="J61" s="496"/>
      <c r="K61" s="496"/>
      <c r="L61" s="496"/>
      <c r="M61" s="496"/>
      <c r="N61" s="496"/>
      <c r="O61" s="256"/>
    </row>
    <row r="62" spans="1:22" ht="21" customHeight="1" x14ac:dyDescent="0.25">
      <c r="A62" s="236"/>
      <c r="B62" s="496" t="s">
        <v>213</v>
      </c>
      <c r="C62" s="496"/>
      <c r="D62" s="496"/>
      <c r="E62" s="496"/>
      <c r="F62" s="496"/>
      <c r="G62" s="496"/>
      <c r="H62" s="496"/>
      <c r="I62" s="496"/>
      <c r="J62" s="496"/>
      <c r="K62" s="496"/>
      <c r="L62" s="496"/>
      <c r="M62" s="496"/>
      <c r="N62" s="496"/>
      <c r="O62" s="256"/>
    </row>
    <row r="63" spans="1:22" ht="21" customHeight="1" x14ac:dyDescent="0.25">
      <c r="A63" s="236"/>
      <c r="B63" s="496" t="s">
        <v>185</v>
      </c>
      <c r="C63" s="496"/>
      <c r="D63" s="496"/>
      <c r="E63" s="496"/>
      <c r="F63" s="496"/>
      <c r="G63" s="496"/>
      <c r="H63" s="496"/>
      <c r="I63" s="496"/>
      <c r="J63" s="496"/>
      <c r="K63" s="496"/>
      <c r="L63" s="496"/>
      <c r="M63" s="496"/>
      <c r="N63" s="496"/>
      <c r="O63" s="256"/>
    </row>
    <row r="64" spans="1:22" ht="21" customHeight="1" x14ac:dyDescent="0.25">
      <c r="A64" s="232"/>
      <c r="B64" s="497" t="s">
        <v>117</v>
      </c>
      <c r="C64" s="497"/>
      <c r="D64" s="497"/>
      <c r="E64" s="497"/>
      <c r="F64" s="497"/>
      <c r="G64" s="497"/>
      <c r="H64" s="497"/>
      <c r="I64" s="497"/>
      <c r="J64" s="497"/>
      <c r="K64" s="497"/>
      <c r="L64" s="497"/>
      <c r="M64" s="497"/>
      <c r="N64" s="497"/>
      <c r="O64" s="256"/>
    </row>
    <row r="65" spans="1:15" ht="21" customHeight="1" x14ac:dyDescent="0.25">
      <c r="A65" s="232"/>
      <c r="B65" s="232"/>
      <c r="C65" s="232"/>
      <c r="D65" s="232"/>
      <c r="E65" s="232"/>
      <c r="F65" s="232"/>
      <c r="G65" s="232"/>
      <c r="H65" s="232"/>
      <c r="I65" s="232"/>
      <c r="J65" s="232"/>
      <c r="K65" s="232"/>
      <c r="L65" s="233"/>
      <c r="M65" s="233"/>
      <c r="N65" s="234"/>
      <c r="O65" s="256"/>
    </row>
    <row r="66" spans="1:15" ht="21" customHeight="1" x14ac:dyDescent="0.25">
      <c r="A66" s="498" t="s">
        <v>62</v>
      </c>
      <c r="B66" s="498"/>
      <c r="C66" s="498"/>
      <c r="D66" s="498"/>
      <c r="E66" s="257"/>
      <c r="F66" s="257"/>
      <c r="G66" s="257"/>
      <c r="H66" s="257"/>
      <c r="I66" s="257"/>
      <c r="J66" s="499" t="s">
        <v>33</v>
      </c>
      <c r="K66" s="499"/>
      <c r="L66" s="499"/>
      <c r="M66" s="499"/>
      <c r="N66" s="499"/>
      <c r="O66" s="256"/>
    </row>
    <row r="67" spans="1:15" ht="21" customHeight="1" x14ac:dyDescent="0.25">
      <c r="A67" s="237"/>
      <c r="B67" s="237"/>
      <c r="C67" s="237"/>
      <c r="D67" s="257"/>
      <c r="E67" s="257"/>
      <c r="F67" s="257"/>
      <c r="G67" s="257"/>
      <c r="H67" s="258"/>
      <c r="I67" s="258"/>
      <c r="J67" s="258"/>
      <c r="K67" s="258"/>
      <c r="L67" s="258"/>
      <c r="M67" s="258"/>
      <c r="N67" s="258"/>
      <c r="O67" s="256"/>
    </row>
    <row r="68" spans="1:15" ht="21" customHeight="1" x14ac:dyDescent="0.25">
      <c r="A68" s="237"/>
      <c r="B68" s="237"/>
      <c r="C68" s="237"/>
      <c r="D68" s="257"/>
      <c r="E68" s="257"/>
      <c r="F68" s="257"/>
      <c r="G68" s="257"/>
      <c r="H68" s="258"/>
      <c r="I68" s="258"/>
      <c r="J68" s="258"/>
      <c r="K68" s="258"/>
      <c r="L68" s="258"/>
      <c r="M68" s="258"/>
      <c r="N68" s="258"/>
      <c r="O68" s="256"/>
    </row>
    <row r="69" spans="1:15" ht="21" customHeight="1" x14ac:dyDescent="0.25">
      <c r="A69" s="237"/>
      <c r="B69" s="237"/>
      <c r="C69" s="237"/>
      <c r="D69" s="257"/>
      <c r="E69" s="257"/>
      <c r="F69" s="257"/>
      <c r="G69" s="257"/>
      <c r="H69" s="258"/>
      <c r="I69" s="258"/>
      <c r="J69" s="500" t="s">
        <v>124</v>
      </c>
      <c r="K69" s="500"/>
      <c r="L69" s="500"/>
      <c r="M69" s="500"/>
      <c r="N69" s="500"/>
      <c r="O69" s="256"/>
    </row>
    <row r="70" spans="1:15" ht="21" customHeight="1" x14ac:dyDescent="0.25">
      <c r="A70" s="501" t="s">
        <v>91</v>
      </c>
      <c r="B70" s="501"/>
      <c r="C70" s="501"/>
      <c r="D70" s="501"/>
      <c r="E70" s="257"/>
      <c r="F70" s="257"/>
      <c r="G70" s="257"/>
      <c r="H70" s="258"/>
      <c r="I70" s="258"/>
      <c r="O70" s="256"/>
    </row>
    <row r="71" spans="1:15" ht="19.149999999999999" customHeight="1" x14ac:dyDescent="0.25">
      <c r="A71" s="237"/>
      <c r="B71" s="237"/>
      <c r="C71" s="237"/>
      <c r="D71" s="257"/>
      <c r="E71" s="257"/>
      <c r="F71" s="257"/>
      <c r="G71" s="257"/>
      <c r="H71" s="258"/>
      <c r="I71" s="258"/>
      <c r="J71" s="258"/>
      <c r="K71" s="258"/>
      <c r="L71" s="258"/>
      <c r="M71" s="258"/>
      <c r="N71" s="258"/>
      <c r="O71" s="256"/>
    </row>
    <row r="72" spans="1:15" ht="19.149999999999999" customHeight="1" x14ac:dyDescent="0.25">
      <c r="A72" s="237"/>
      <c r="B72" s="237"/>
      <c r="C72" s="237"/>
      <c r="D72" s="257"/>
      <c r="E72" s="257"/>
      <c r="F72" s="257"/>
      <c r="G72" s="257"/>
      <c r="H72" s="258"/>
      <c r="I72" s="258"/>
      <c r="J72" s="258"/>
      <c r="K72" s="258"/>
      <c r="L72" s="258"/>
      <c r="M72" s="258"/>
      <c r="N72" s="258"/>
      <c r="O72" s="256"/>
    </row>
    <row r="73" spans="1:15" ht="19.149999999999999" customHeight="1" x14ac:dyDescent="0.25">
      <c r="A73" s="237"/>
      <c r="B73" s="237"/>
      <c r="C73" s="237"/>
      <c r="D73" s="257"/>
      <c r="E73" s="257"/>
      <c r="F73" s="257"/>
      <c r="G73" s="257"/>
      <c r="H73" s="258"/>
      <c r="I73" s="258"/>
      <c r="J73" s="500" t="s">
        <v>127</v>
      </c>
      <c r="K73" s="500"/>
      <c r="L73" s="500"/>
      <c r="M73" s="500"/>
      <c r="N73" s="500"/>
      <c r="O73" s="256"/>
    </row>
    <row r="74" spans="1:15" ht="19.149999999999999" customHeight="1" x14ac:dyDescent="0.25">
      <c r="A74" s="237"/>
      <c r="B74" s="237"/>
      <c r="C74" s="237"/>
      <c r="D74" s="257"/>
      <c r="E74" s="257"/>
      <c r="F74" s="257"/>
      <c r="G74" s="257"/>
      <c r="H74" s="258"/>
      <c r="I74" s="258"/>
      <c r="J74" s="258"/>
      <c r="K74" s="258"/>
      <c r="L74" s="258"/>
      <c r="M74" s="258"/>
      <c r="N74" s="258"/>
      <c r="O74" s="256"/>
    </row>
    <row r="75" spans="1:15" ht="19.149999999999999" customHeight="1" x14ac:dyDescent="0.25">
      <c r="A75" s="237"/>
      <c r="B75" s="237"/>
      <c r="C75" s="237"/>
      <c r="D75" s="257"/>
      <c r="E75" s="257"/>
      <c r="F75" s="257"/>
      <c r="G75" s="257"/>
      <c r="H75" s="258"/>
      <c r="I75" s="258"/>
      <c r="J75" s="258"/>
      <c r="K75" s="258"/>
      <c r="L75" s="258"/>
      <c r="M75" s="258"/>
      <c r="N75" s="258"/>
      <c r="O75" s="256"/>
    </row>
    <row r="76" spans="1:15" ht="19.149999999999999" customHeight="1" x14ac:dyDescent="0.25">
      <c r="A76" s="237"/>
      <c r="B76" s="237"/>
      <c r="C76" s="237"/>
      <c r="D76" s="257"/>
      <c r="E76" s="257"/>
      <c r="F76" s="257"/>
      <c r="G76" s="257"/>
      <c r="H76" s="258"/>
      <c r="I76" s="258"/>
      <c r="J76" s="258"/>
      <c r="K76" s="258"/>
      <c r="L76" s="258"/>
      <c r="M76" s="258"/>
      <c r="N76" s="258"/>
      <c r="O76" s="256"/>
    </row>
    <row r="77" spans="1:15" ht="19.149999999999999" customHeight="1" x14ac:dyDescent="0.25">
      <c r="A77" s="237"/>
      <c r="B77" s="237"/>
      <c r="C77" s="237"/>
      <c r="D77" s="257"/>
      <c r="E77" s="257"/>
      <c r="F77" s="257"/>
      <c r="G77" s="257"/>
      <c r="H77" s="258"/>
      <c r="I77" s="258"/>
      <c r="J77" s="258"/>
      <c r="K77" s="258"/>
      <c r="L77" s="258"/>
      <c r="M77" s="258"/>
      <c r="N77" s="258"/>
      <c r="O77" s="256"/>
    </row>
    <row r="78" spans="1:15" ht="19.149999999999999" customHeight="1" x14ac:dyDescent="0.25">
      <c r="A78" s="237"/>
      <c r="B78" s="237"/>
      <c r="C78" s="237"/>
      <c r="D78" s="257"/>
      <c r="E78" s="257"/>
      <c r="F78" s="257"/>
      <c r="G78" s="257"/>
      <c r="H78" s="258"/>
      <c r="I78" s="258"/>
      <c r="J78" s="258"/>
      <c r="K78" s="258"/>
      <c r="L78" s="258"/>
      <c r="M78" s="258"/>
      <c r="N78" s="258"/>
      <c r="O78" s="256"/>
    </row>
    <row r="79" spans="1:15" ht="19.149999999999999" customHeight="1" x14ac:dyDescent="0.25">
      <c r="A79" s="237"/>
      <c r="B79" s="237"/>
      <c r="C79" s="237"/>
      <c r="D79" s="257"/>
      <c r="E79" s="257"/>
      <c r="F79" s="257"/>
      <c r="G79" s="257"/>
      <c r="H79" s="258"/>
      <c r="I79" s="258"/>
      <c r="J79" s="258"/>
      <c r="K79" s="258"/>
      <c r="L79" s="258"/>
      <c r="M79" s="258"/>
      <c r="N79" s="258"/>
      <c r="O79" s="256"/>
    </row>
    <row r="80" spans="1:15" ht="19.149999999999999" customHeight="1" x14ac:dyDescent="0.25">
      <c r="A80" s="237"/>
      <c r="B80" s="237"/>
      <c r="C80" s="237"/>
      <c r="D80" s="257"/>
      <c r="E80" s="257"/>
      <c r="F80" s="257"/>
      <c r="G80" s="257"/>
      <c r="H80" s="258"/>
      <c r="I80" s="258"/>
      <c r="J80" s="258"/>
      <c r="K80" s="258"/>
      <c r="L80" s="258"/>
      <c r="M80" s="258"/>
      <c r="N80" s="258"/>
      <c r="O80" s="256"/>
    </row>
    <row r="81" spans="1:16" ht="19.149999999999999" customHeight="1" x14ac:dyDescent="0.25">
      <c r="A81" s="237"/>
      <c r="B81" s="237"/>
      <c r="C81" s="237"/>
      <c r="D81" s="257"/>
      <c r="E81" s="257"/>
      <c r="F81" s="257"/>
      <c r="G81" s="257"/>
      <c r="H81" s="258"/>
      <c r="I81" s="258"/>
      <c r="J81" s="258"/>
      <c r="K81" s="258"/>
      <c r="L81" s="258"/>
      <c r="M81" s="258"/>
      <c r="N81" s="258"/>
      <c r="O81" s="256"/>
    </row>
    <row r="82" spans="1:16" ht="19.149999999999999" customHeight="1" x14ac:dyDescent="0.25">
      <c r="A82" s="237"/>
      <c r="B82" s="237"/>
      <c r="C82" s="237"/>
      <c r="D82" s="257"/>
      <c r="E82" s="257"/>
      <c r="F82" s="257"/>
      <c r="G82" s="257"/>
      <c r="H82" s="258"/>
      <c r="I82" s="258"/>
      <c r="J82" s="258"/>
      <c r="K82" s="258"/>
      <c r="L82" s="258"/>
      <c r="M82" s="258"/>
      <c r="N82" s="258"/>
      <c r="O82" s="256"/>
    </row>
    <row r="83" spans="1:16" ht="19.149999999999999" customHeight="1" x14ac:dyDescent="0.25">
      <c r="A83" s="237"/>
      <c r="B83" s="237"/>
      <c r="C83" s="237"/>
      <c r="D83" s="257"/>
      <c r="E83" s="257"/>
      <c r="F83" s="257"/>
      <c r="G83" s="257"/>
      <c r="H83" s="258"/>
      <c r="I83" s="258"/>
      <c r="J83" s="258"/>
      <c r="K83" s="258"/>
      <c r="L83" s="258"/>
      <c r="M83" s="258"/>
      <c r="N83" s="258"/>
      <c r="O83" s="256"/>
    </row>
    <row r="84" spans="1:16" ht="19.149999999999999" customHeight="1" x14ac:dyDescent="0.3">
      <c r="A84" s="186" t="s">
        <v>61</v>
      </c>
      <c r="B84" s="187"/>
      <c r="C84" s="187"/>
      <c r="D84" s="187"/>
      <c r="E84" s="187"/>
      <c r="F84" s="409" t="s">
        <v>32</v>
      </c>
      <c r="G84" s="409"/>
      <c r="H84" s="409"/>
      <c r="I84" s="409"/>
      <c r="J84" s="409"/>
      <c r="K84" s="409"/>
      <c r="L84" s="409"/>
      <c r="M84" s="409"/>
      <c r="N84" s="409"/>
      <c r="O84" s="185"/>
      <c r="P84" s="185"/>
    </row>
    <row r="85" spans="1:16" ht="19.149999999999999" customHeight="1" x14ac:dyDescent="0.3">
      <c r="A85" s="187" t="s">
        <v>211</v>
      </c>
      <c r="B85" s="187"/>
      <c r="C85" s="187"/>
      <c r="D85" s="187"/>
      <c r="E85" s="187"/>
      <c r="F85" s="188"/>
      <c r="G85" s="188"/>
      <c r="H85" s="188"/>
      <c r="I85" s="188"/>
      <c r="J85" s="188"/>
      <c r="K85" s="188"/>
      <c r="L85" s="188"/>
      <c r="M85" s="188"/>
      <c r="N85" s="188"/>
      <c r="O85" s="185"/>
      <c r="P85" s="185"/>
    </row>
    <row r="86" spans="1:16" ht="19.149999999999999" customHeight="1" x14ac:dyDescent="0.25">
      <c r="A86" s="410" t="s">
        <v>97</v>
      </c>
      <c r="B86" s="410"/>
      <c r="C86" s="410"/>
      <c r="D86" s="410"/>
      <c r="E86" s="410" t="s">
        <v>89</v>
      </c>
      <c r="F86" s="410"/>
      <c r="G86" s="410"/>
      <c r="H86" s="410"/>
      <c r="I86" s="410"/>
      <c r="J86" s="410"/>
      <c r="K86" s="410"/>
      <c r="L86" s="410"/>
      <c r="M86" s="410"/>
      <c r="N86" s="410"/>
      <c r="O86" s="249"/>
    </row>
    <row r="87" spans="1:16" ht="19.149999999999999" customHeight="1" x14ac:dyDescent="0.25">
      <c r="A87" s="410"/>
      <c r="B87" s="410"/>
      <c r="C87" s="410"/>
      <c r="D87" s="410"/>
      <c r="E87" s="410" t="s">
        <v>100</v>
      </c>
      <c r="F87" s="410"/>
      <c r="G87" s="410"/>
      <c r="H87" s="410"/>
      <c r="I87" s="410"/>
      <c r="J87" s="410" t="s">
        <v>101</v>
      </c>
      <c r="K87" s="410"/>
      <c r="L87" s="410"/>
      <c r="M87" s="410"/>
      <c r="N87" s="410"/>
      <c r="O87" s="249"/>
    </row>
    <row r="88" spans="1:16" ht="19.149999999999999" customHeight="1" x14ac:dyDescent="0.25">
      <c r="A88" s="411" t="s">
        <v>90</v>
      </c>
      <c r="B88" s="411"/>
      <c r="C88" s="411"/>
      <c r="D88" s="411"/>
      <c r="E88" s="412" t="s">
        <v>76</v>
      </c>
      <c r="F88" s="412"/>
      <c r="G88" s="412"/>
      <c r="H88" s="412"/>
      <c r="I88" s="412"/>
      <c r="J88" s="502" t="s">
        <v>90</v>
      </c>
      <c r="K88" s="503"/>
      <c r="L88" s="503"/>
      <c r="M88" s="503"/>
      <c r="N88" s="504"/>
      <c r="O88" s="249"/>
    </row>
    <row r="89" spans="1:16" ht="19.149999999999999" customHeight="1" x14ac:dyDescent="0.25">
      <c r="A89" s="422" t="s">
        <v>163</v>
      </c>
      <c r="B89" s="423"/>
      <c r="C89" s="423"/>
      <c r="D89" s="424"/>
      <c r="E89" s="412"/>
      <c r="F89" s="412"/>
      <c r="G89" s="412"/>
      <c r="H89" s="412"/>
      <c r="I89" s="412"/>
      <c r="J89" s="422" t="s">
        <v>164</v>
      </c>
      <c r="K89" s="423"/>
      <c r="L89" s="423"/>
      <c r="M89" s="423"/>
      <c r="N89" s="424"/>
      <c r="O89" s="249"/>
    </row>
    <row r="90" spans="1:16" ht="19.149999999999999" customHeight="1" x14ac:dyDescent="0.25">
      <c r="A90" s="426" t="s">
        <v>160</v>
      </c>
      <c r="B90" s="426"/>
      <c r="C90" s="426"/>
      <c r="D90" s="426"/>
      <c r="E90" s="412"/>
      <c r="F90" s="412"/>
      <c r="G90" s="412"/>
      <c r="H90" s="412"/>
      <c r="I90" s="412"/>
      <c r="J90" s="505" t="s">
        <v>165</v>
      </c>
      <c r="K90" s="506"/>
      <c r="L90" s="506"/>
      <c r="M90" s="506"/>
      <c r="N90" s="507"/>
      <c r="O90" s="249"/>
    </row>
    <row r="91" spans="1:16" ht="19.149999999999999" customHeight="1" x14ac:dyDescent="0.3">
      <c r="A91" s="427" t="s">
        <v>122</v>
      </c>
      <c r="B91" s="428"/>
      <c r="C91" s="429"/>
      <c r="D91" s="190">
        <v>53</v>
      </c>
      <c r="E91" s="187"/>
      <c r="F91" s="188"/>
      <c r="G91" s="188"/>
      <c r="H91" s="188"/>
      <c r="I91" s="188"/>
      <c r="J91" s="188"/>
      <c r="K91" s="188"/>
      <c r="L91" s="188"/>
      <c r="M91" s="188"/>
      <c r="N91" s="188"/>
      <c r="O91" s="185"/>
      <c r="P91" s="185"/>
    </row>
    <row r="92" spans="1:16" ht="19.149999999999999" customHeight="1" x14ac:dyDescent="0.25">
      <c r="A92" s="430" t="s">
        <v>66</v>
      </c>
      <c r="B92" s="433" t="s">
        <v>19</v>
      </c>
      <c r="C92" s="436" t="s">
        <v>8</v>
      </c>
      <c r="D92" s="433" t="s">
        <v>9</v>
      </c>
      <c r="E92" s="439" t="s">
        <v>11</v>
      </c>
      <c r="F92" s="440"/>
      <c r="G92" s="439" t="s">
        <v>13</v>
      </c>
      <c r="H92" s="440"/>
      <c r="I92" s="430" t="s">
        <v>16</v>
      </c>
      <c r="J92" s="430" t="s">
        <v>41</v>
      </c>
      <c r="K92" s="430" t="s">
        <v>42</v>
      </c>
      <c r="L92" s="430" t="s">
        <v>17</v>
      </c>
      <c r="M92" s="430" t="s">
        <v>56</v>
      </c>
      <c r="N92" s="430" t="s">
        <v>18</v>
      </c>
      <c r="O92" s="250"/>
    </row>
    <row r="93" spans="1:16" ht="19.149999999999999" customHeight="1" x14ac:dyDescent="0.25">
      <c r="A93" s="431"/>
      <c r="B93" s="434"/>
      <c r="C93" s="437"/>
      <c r="D93" s="434"/>
      <c r="E93" s="441"/>
      <c r="F93" s="442"/>
      <c r="G93" s="441"/>
      <c r="H93" s="442"/>
      <c r="I93" s="443"/>
      <c r="J93" s="443"/>
      <c r="K93" s="443"/>
      <c r="L93" s="443"/>
      <c r="M93" s="443"/>
      <c r="N93" s="431"/>
      <c r="O93" s="237"/>
    </row>
    <row r="94" spans="1:16" ht="19.149999999999999" customHeight="1" x14ac:dyDescent="0.25">
      <c r="A94" s="431"/>
      <c r="B94" s="434"/>
      <c r="C94" s="437"/>
      <c r="D94" s="434"/>
      <c r="E94" s="430" t="s">
        <v>10</v>
      </c>
      <c r="F94" s="430" t="s">
        <v>12</v>
      </c>
      <c r="G94" s="430" t="s">
        <v>14</v>
      </c>
      <c r="H94" s="430" t="s">
        <v>15</v>
      </c>
      <c r="I94" s="443"/>
      <c r="J94" s="443"/>
      <c r="K94" s="443"/>
      <c r="L94" s="443"/>
      <c r="M94" s="443"/>
      <c r="N94" s="431"/>
      <c r="O94" s="237"/>
    </row>
    <row r="95" spans="1:16" ht="19.149999999999999" customHeight="1" x14ac:dyDescent="0.25">
      <c r="A95" s="432"/>
      <c r="B95" s="435"/>
      <c r="C95" s="438"/>
      <c r="D95" s="435"/>
      <c r="E95" s="444"/>
      <c r="F95" s="444"/>
      <c r="G95" s="444"/>
      <c r="H95" s="444"/>
      <c r="I95" s="444"/>
      <c r="J95" s="444"/>
      <c r="K95" s="444"/>
      <c r="L95" s="444"/>
      <c r="M95" s="444"/>
      <c r="N95" s="432"/>
      <c r="O95" s="237"/>
    </row>
    <row r="96" spans="1:16" ht="19.149999999999999" customHeight="1" x14ac:dyDescent="0.25">
      <c r="A96" s="445" t="s">
        <v>39</v>
      </c>
      <c r="B96" s="446"/>
      <c r="C96" s="446"/>
      <c r="D96" s="446"/>
      <c r="E96" s="446"/>
      <c r="F96" s="446"/>
      <c r="G96" s="446"/>
      <c r="H96" s="446"/>
      <c r="I96" s="446"/>
      <c r="J96" s="446"/>
      <c r="K96" s="446"/>
      <c r="L96" s="446"/>
      <c r="M96" s="446"/>
      <c r="N96" s="447"/>
      <c r="O96" s="237"/>
    </row>
    <row r="97" spans="1:20" ht="19.149999999999999" customHeight="1" x14ac:dyDescent="0.25">
      <c r="A97" s="140">
        <v>1</v>
      </c>
      <c r="B97" s="126" t="s">
        <v>2</v>
      </c>
      <c r="C97" s="114">
        <f>L97/100*100</f>
        <v>70</v>
      </c>
      <c r="D97" s="117">
        <f>C97/100*60</f>
        <v>42</v>
      </c>
      <c r="E97" s="115">
        <f>C97/100*15</f>
        <v>10.5</v>
      </c>
      <c r="F97" s="115"/>
      <c r="G97" s="115"/>
      <c r="H97" s="115"/>
      <c r="I97" s="115"/>
      <c r="J97" s="192">
        <f>C97/100*387</f>
        <v>270.89999999999998</v>
      </c>
      <c r="K97" s="192">
        <f>C97/100*0.09</f>
        <v>6.3E-2</v>
      </c>
      <c r="L97" s="116">
        <v>70</v>
      </c>
      <c r="M97" s="141">
        <v>20</v>
      </c>
      <c r="N97" s="114">
        <f>L97*M97</f>
        <v>1400</v>
      </c>
      <c r="O97" s="164"/>
    </row>
    <row r="98" spans="1:20" ht="19.149999999999999" customHeight="1" x14ac:dyDescent="0.25">
      <c r="A98" s="140">
        <v>2</v>
      </c>
      <c r="B98" s="128" t="s">
        <v>141</v>
      </c>
      <c r="C98" s="114">
        <f>L98/100*100</f>
        <v>340</v>
      </c>
      <c r="D98" s="117">
        <f>C98/100*899</f>
        <v>3056.6</v>
      </c>
      <c r="E98" s="115"/>
      <c r="F98" s="115"/>
      <c r="G98" s="115">
        <f>C98/100*100</f>
        <v>340</v>
      </c>
      <c r="H98" s="115"/>
      <c r="I98" s="115"/>
      <c r="J98" s="115"/>
      <c r="K98" s="115"/>
      <c r="L98" s="116">
        <v>340</v>
      </c>
      <c r="M98" s="216">
        <v>68</v>
      </c>
      <c r="N98" s="114">
        <f t="shared" ref="N98:N105" si="3">L98*M98</f>
        <v>23120</v>
      </c>
      <c r="O98" s="253"/>
    </row>
    <row r="99" spans="1:20" ht="19.149999999999999" customHeight="1" x14ac:dyDescent="0.25">
      <c r="A99" s="140">
        <v>3</v>
      </c>
      <c r="B99" s="127" t="s">
        <v>1</v>
      </c>
      <c r="C99" s="114">
        <f>L99/100*100</f>
        <v>2279</v>
      </c>
      <c r="D99" s="117">
        <f>C99/100*344</f>
        <v>7839.7599999999993</v>
      </c>
      <c r="E99" s="118"/>
      <c r="F99" s="118">
        <f>C99/100*7.9</f>
        <v>180.041</v>
      </c>
      <c r="G99" s="115"/>
      <c r="H99" s="115">
        <f>C99/100*1</f>
        <v>22.79</v>
      </c>
      <c r="I99" s="115">
        <f>C99/100*72.9</f>
        <v>1661.3910000000001</v>
      </c>
      <c r="J99" s="192">
        <f>C99/100*30</f>
        <v>683.69999999999993</v>
      </c>
      <c r="K99" s="192">
        <f>C99/100*0.1</f>
        <v>2.2789999999999999</v>
      </c>
      <c r="L99" s="116">
        <v>2279</v>
      </c>
      <c r="M99" s="141">
        <v>18</v>
      </c>
      <c r="N99" s="114">
        <f t="shared" si="3"/>
        <v>41022</v>
      </c>
      <c r="O99" s="164"/>
    </row>
    <row r="100" spans="1:20" ht="19.149999999999999" customHeight="1" x14ac:dyDescent="0.25">
      <c r="A100" s="140">
        <v>4</v>
      </c>
      <c r="B100" s="126" t="s">
        <v>71</v>
      </c>
      <c r="C100" s="114">
        <f>L100/100*98</f>
        <v>1136.8</v>
      </c>
      <c r="D100" s="117">
        <f>C100/100*139</f>
        <v>1580.152</v>
      </c>
      <c r="E100" s="118">
        <f>C100/100*19</f>
        <v>215.99200000000002</v>
      </c>
      <c r="F100" s="118"/>
      <c r="G100" s="115">
        <f>C100/100*7</f>
        <v>79.576000000000008</v>
      </c>
      <c r="H100" s="115"/>
      <c r="I100" s="115"/>
      <c r="J100" s="192">
        <f>C100/100*7</f>
        <v>79.576000000000008</v>
      </c>
      <c r="K100" s="192">
        <f>C100/100*0.9</f>
        <v>10.231200000000001</v>
      </c>
      <c r="L100" s="116">
        <v>1160</v>
      </c>
      <c r="M100" s="195">
        <v>130</v>
      </c>
      <c r="N100" s="114">
        <f t="shared" si="3"/>
        <v>150800</v>
      </c>
      <c r="O100" s="164"/>
    </row>
    <row r="101" spans="1:20" ht="19.149999999999999" customHeight="1" x14ac:dyDescent="0.25">
      <c r="A101" s="140">
        <v>5</v>
      </c>
      <c r="B101" s="127" t="s">
        <v>30</v>
      </c>
      <c r="C101" s="114">
        <f>L101/100*88</f>
        <v>1311.2</v>
      </c>
      <c r="D101" s="117">
        <f>C101/100*184</f>
        <v>2412.6080000000002</v>
      </c>
      <c r="E101" s="118">
        <f>C101/100*13</f>
        <v>170.45599999999999</v>
      </c>
      <c r="F101" s="118"/>
      <c r="G101" s="115">
        <f>C101/100*14.2</f>
        <v>186.19039999999998</v>
      </c>
      <c r="H101" s="115"/>
      <c r="I101" s="115">
        <f>C101/100*1</f>
        <v>13.112</v>
      </c>
      <c r="J101" s="192">
        <f>C101/100*71</f>
        <v>930.952</v>
      </c>
      <c r="K101" s="192">
        <f>C101/100*0.15</f>
        <v>1.9667999999999999</v>
      </c>
      <c r="L101" s="116">
        <v>1490</v>
      </c>
      <c r="M101" s="116">
        <v>62</v>
      </c>
      <c r="N101" s="114">
        <f t="shared" si="3"/>
        <v>92380</v>
      </c>
      <c r="O101" s="164"/>
      <c r="Q101" s="170"/>
      <c r="R101" s="170"/>
      <c r="S101" s="164"/>
    </row>
    <row r="102" spans="1:20" ht="19.149999999999999" customHeight="1" x14ac:dyDescent="0.25">
      <c r="A102" s="140">
        <v>5</v>
      </c>
      <c r="B102" s="126" t="s">
        <v>143</v>
      </c>
      <c r="C102" s="114">
        <f>L102/100*43</f>
        <v>447.2</v>
      </c>
      <c r="D102" s="117">
        <f>C102/100*83</f>
        <v>371.17599999999999</v>
      </c>
      <c r="E102" s="115">
        <f>C102/100*7.7</f>
        <v>34.434399999999997</v>
      </c>
      <c r="F102" s="115"/>
      <c r="G102" s="115">
        <f>C102/100*5.5</f>
        <v>24.595999999999997</v>
      </c>
      <c r="H102" s="115"/>
      <c r="I102" s="115"/>
      <c r="J102" s="192"/>
      <c r="K102" s="192"/>
      <c r="L102" s="116">
        <v>1040</v>
      </c>
      <c r="M102" s="195">
        <v>132</v>
      </c>
      <c r="N102" s="114">
        <f>L102*M102</f>
        <v>137280</v>
      </c>
      <c r="O102" s="164"/>
    </row>
    <row r="103" spans="1:20" ht="19.149999999999999" customHeight="1" x14ac:dyDescent="0.25">
      <c r="A103" s="140">
        <v>9</v>
      </c>
      <c r="B103" s="127" t="s">
        <v>142</v>
      </c>
      <c r="C103" s="114">
        <f>L103/100*87</f>
        <v>1104.8999999999999</v>
      </c>
      <c r="D103" s="117">
        <f>C103/100*21</f>
        <v>232.029</v>
      </c>
      <c r="E103" s="181"/>
      <c r="F103" s="181">
        <f>C103/100*1.5</f>
        <v>16.573499999999999</v>
      </c>
      <c r="G103" s="181"/>
      <c r="H103" s="181">
        <f>C103/100*0.1</f>
        <v>1.1049</v>
      </c>
      <c r="I103" s="181">
        <f>C103/100*3.6</f>
        <v>39.776400000000002</v>
      </c>
      <c r="J103" s="181">
        <f>C103/100*40</f>
        <v>441.96</v>
      </c>
      <c r="K103" s="181">
        <f>C103/100*0.06</f>
        <v>0.66293999999999997</v>
      </c>
      <c r="L103" s="161">
        <v>1270</v>
      </c>
      <c r="M103" s="116">
        <v>18</v>
      </c>
      <c r="N103" s="114">
        <f t="shared" ref="N103:N104" si="4">L103*M103</f>
        <v>22860</v>
      </c>
      <c r="O103" s="164"/>
      <c r="Q103" s="170"/>
      <c r="R103" s="170"/>
      <c r="S103" s="164"/>
    </row>
    <row r="104" spans="1:20" ht="19.149999999999999" customHeight="1" x14ac:dyDescent="0.25">
      <c r="A104" s="140">
        <v>8</v>
      </c>
      <c r="B104" s="127" t="s">
        <v>4</v>
      </c>
      <c r="C104" s="114">
        <f>L104/100*98.5</f>
        <v>423.54999999999995</v>
      </c>
      <c r="D104" s="117">
        <f>C104/100*39</f>
        <v>165.18449999999996</v>
      </c>
      <c r="E104" s="181"/>
      <c r="F104" s="181">
        <f>C104/100*1.5</f>
        <v>6.3532499999999992</v>
      </c>
      <c r="G104" s="181"/>
      <c r="H104" s="181">
        <f>C104/100*0.2</f>
        <v>0.84709999999999985</v>
      </c>
      <c r="I104" s="181">
        <f>C104/100*7.8</f>
        <v>33.036899999999996</v>
      </c>
      <c r="J104" s="181">
        <f>C104/100*43</f>
        <v>182.12649999999996</v>
      </c>
      <c r="K104" s="181">
        <f>C104/100*0.06</f>
        <v>0.25412999999999997</v>
      </c>
      <c r="L104" s="161">
        <v>430</v>
      </c>
      <c r="M104" s="116">
        <v>17</v>
      </c>
      <c r="N104" s="114">
        <f t="shared" si="4"/>
        <v>7310</v>
      </c>
      <c r="O104" s="164"/>
      <c r="Q104" s="170"/>
      <c r="R104" s="170"/>
      <c r="S104" s="164"/>
    </row>
    <row r="105" spans="1:20" ht="19.149999999999999" customHeight="1" x14ac:dyDescent="0.25">
      <c r="A105" s="140">
        <v>9</v>
      </c>
      <c r="B105" s="127" t="s">
        <v>136</v>
      </c>
      <c r="C105" s="114">
        <f>L105/100*100</f>
        <v>40</v>
      </c>
      <c r="D105" s="117">
        <f>C105/100*247</f>
        <v>98.800000000000011</v>
      </c>
      <c r="E105" s="181"/>
      <c r="F105" s="181">
        <f>C105/100*17.5</f>
        <v>7</v>
      </c>
      <c r="G105" s="181"/>
      <c r="H105" s="181">
        <f>C105/100*1.6</f>
        <v>0.64000000000000012</v>
      </c>
      <c r="I105" s="181">
        <f>C105/100*39.2</f>
        <v>15.680000000000001</v>
      </c>
      <c r="J105" s="197"/>
      <c r="K105" s="197"/>
      <c r="L105" s="161">
        <v>40</v>
      </c>
      <c r="M105" s="141">
        <v>50</v>
      </c>
      <c r="N105" s="114">
        <f t="shared" si="3"/>
        <v>2000</v>
      </c>
      <c r="O105" s="164"/>
      <c r="Q105" s="170"/>
      <c r="R105" s="170"/>
      <c r="S105" s="164"/>
      <c r="T105" s="170"/>
    </row>
    <row r="106" spans="1:20" ht="19.149999999999999" customHeight="1" x14ac:dyDescent="0.25">
      <c r="A106" s="238">
        <v>10</v>
      </c>
      <c r="B106" s="198" t="s">
        <v>123</v>
      </c>
      <c r="C106" s="114"/>
      <c r="D106" s="117"/>
      <c r="E106" s="115"/>
      <c r="F106" s="115"/>
      <c r="G106" s="115"/>
      <c r="H106" s="115"/>
      <c r="I106" s="115"/>
      <c r="J106" s="192"/>
      <c r="K106" s="192"/>
      <c r="L106" s="116"/>
      <c r="M106" s="116"/>
      <c r="N106" s="114">
        <v>3400</v>
      </c>
      <c r="O106" s="164"/>
    </row>
    <row r="107" spans="1:20" ht="19.149999999999999" customHeight="1" x14ac:dyDescent="0.25">
      <c r="A107" s="199" t="s">
        <v>118</v>
      </c>
      <c r="B107" s="200"/>
      <c r="C107" s="201"/>
      <c r="D107" s="202">
        <f>SUM(D97:D106)</f>
        <v>15798.309499999998</v>
      </c>
      <c r="E107" s="221"/>
      <c r="F107" s="221"/>
      <c r="G107" s="221"/>
      <c r="H107" s="221"/>
      <c r="I107" s="221"/>
      <c r="J107" s="221"/>
      <c r="K107" s="221"/>
      <c r="L107" s="222"/>
      <c r="M107" s="455"/>
      <c r="N107" s="508">
        <f>SUM(N97:N106)</f>
        <v>481572</v>
      </c>
      <c r="O107" s="164"/>
    </row>
    <row r="108" spans="1:20" ht="19.149999999999999" customHeight="1" x14ac:dyDescent="0.25">
      <c r="A108" s="199" t="s">
        <v>37</v>
      </c>
      <c r="B108" s="200"/>
      <c r="C108" s="223"/>
      <c r="D108" s="224">
        <f>D107/D91</f>
        <v>298.08131132075465</v>
      </c>
      <c r="E108" s="224"/>
      <c r="F108" s="224"/>
      <c r="G108" s="224"/>
      <c r="H108" s="224"/>
      <c r="I108" s="224"/>
      <c r="J108" s="224"/>
      <c r="K108" s="224"/>
      <c r="L108" s="222"/>
      <c r="M108" s="456"/>
      <c r="N108" s="509"/>
      <c r="O108" s="164"/>
    </row>
    <row r="109" spans="1:20" ht="19.149999999999999" customHeight="1" x14ac:dyDescent="0.25">
      <c r="A109" s="450" t="s">
        <v>53</v>
      </c>
      <c r="B109" s="451"/>
      <c r="C109" s="251" t="s">
        <v>151</v>
      </c>
      <c r="D109" s="208" t="s">
        <v>45</v>
      </c>
      <c r="E109" s="224"/>
      <c r="F109" s="224"/>
      <c r="G109" s="224"/>
      <c r="H109" s="224"/>
      <c r="I109" s="224"/>
      <c r="J109" s="225"/>
      <c r="K109" s="225"/>
      <c r="L109" s="222"/>
      <c r="M109" s="222"/>
      <c r="N109" s="226"/>
      <c r="O109" s="164"/>
    </row>
    <row r="110" spans="1:20" ht="19.149999999999999" customHeight="1" x14ac:dyDescent="0.25">
      <c r="A110" s="452"/>
      <c r="B110" s="453"/>
      <c r="C110" s="210" t="s">
        <v>60</v>
      </c>
      <c r="D110" s="239">
        <f>D108*100/930</f>
        <v>32.051753905457488</v>
      </c>
      <c r="E110" s="224"/>
      <c r="F110" s="224"/>
      <c r="G110" s="224"/>
      <c r="H110" s="224"/>
      <c r="I110" s="224"/>
      <c r="J110" s="225"/>
      <c r="K110" s="225"/>
      <c r="L110" s="222"/>
      <c r="M110" s="222"/>
      <c r="N110" s="226"/>
      <c r="O110" s="164"/>
    </row>
    <row r="111" spans="1:20" ht="19.149999999999999" customHeight="1" x14ac:dyDescent="0.3">
      <c r="A111" s="454" t="s">
        <v>38</v>
      </c>
      <c r="B111" s="454"/>
      <c r="C111" s="211"/>
      <c r="D111" s="212"/>
      <c r="E111" s="213"/>
      <c r="F111" s="213"/>
      <c r="G111" s="213"/>
      <c r="H111" s="213"/>
      <c r="I111" s="213"/>
      <c r="J111" s="213"/>
      <c r="K111" s="213"/>
      <c r="L111" s="214"/>
      <c r="M111" s="214"/>
      <c r="N111" s="211"/>
      <c r="O111" s="164"/>
    </row>
    <row r="112" spans="1:20" ht="19.149999999999999" customHeight="1" x14ac:dyDescent="0.25">
      <c r="A112" s="140">
        <v>1</v>
      </c>
      <c r="B112" s="126" t="s">
        <v>2</v>
      </c>
      <c r="C112" s="114">
        <f>L112/100*100</f>
        <v>60</v>
      </c>
      <c r="D112" s="117">
        <f>C112/100*60</f>
        <v>36</v>
      </c>
      <c r="E112" s="115">
        <f>C112/100*15</f>
        <v>9</v>
      </c>
      <c r="F112" s="115"/>
      <c r="G112" s="115"/>
      <c r="H112" s="115"/>
      <c r="I112" s="115"/>
      <c r="J112" s="192">
        <f>C112/100*387</f>
        <v>232.2</v>
      </c>
      <c r="K112" s="192">
        <f>C112/100*0.09</f>
        <v>5.3999999999999999E-2</v>
      </c>
      <c r="L112" s="116">
        <v>60</v>
      </c>
      <c r="M112" s="141">
        <v>20</v>
      </c>
      <c r="N112" s="114">
        <f>L112*M112</f>
        <v>1200</v>
      </c>
      <c r="O112" s="164"/>
    </row>
    <row r="113" spans="1:20" ht="19.149999999999999" customHeight="1" x14ac:dyDescent="0.25">
      <c r="A113" s="140">
        <v>2</v>
      </c>
      <c r="B113" s="128" t="s">
        <v>141</v>
      </c>
      <c r="C113" s="114">
        <f>L113/100*100</f>
        <v>90</v>
      </c>
      <c r="D113" s="117">
        <f>C113/100*899</f>
        <v>809.1</v>
      </c>
      <c r="E113" s="115"/>
      <c r="F113" s="115"/>
      <c r="G113" s="115">
        <f>C113/100*100</f>
        <v>90</v>
      </c>
      <c r="H113" s="115"/>
      <c r="I113" s="115"/>
      <c r="J113" s="192"/>
      <c r="K113" s="192"/>
      <c r="L113" s="116">
        <v>90</v>
      </c>
      <c r="M113" s="141">
        <v>68</v>
      </c>
      <c r="N113" s="114">
        <f t="shared" ref="N113:N119" si="5">L113*M113</f>
        <v>6120</v>
      </c>
      <c r="O113" s="164"/>
    </row>
    <row r="114" spans="1:20" ht="19.149999999999999" customHeight="1" x14ac:dyDescent="0.25">
      <c r="A114" s="140">
        <v>3</v>
      </c>
      <c r="B114" s="126" t="s">
        <v>146</v>
      </c>
      <c r="C114" s="114">
        <f>L114/100*100</f>
        <v>229.99999999999997</v>
      </c>
      <c r="D114" s="193">
        <f>C114/100*900</f>
        <v>2070</v>
      </c>
      <c r="E114" s="115"/>
      <c r="F114" s="115"/>
      <c r="G114" s="118"/>
      <c r="H114" s="115">
        <f>C114/100*100</f>
        <v>229.99999999999997</v>
      </c>
      <c r="I114" s="115"/>
      <c r="J114" s="115"/>
      <c r="K114" s="115"/>
      <c r="L114" s="116">
        <v>230</v>
      </c>
      <c r="M114" s="141">
        <v>63.5</v>
      </c>
      <c r="N114" s="114">
        <f t="shared" si="5"/>
        <v>14605</v>
      </c>
      <c r="O114" s="253"/>
    </row>
    <row r="115" spans="1:20" ht="19.149999999999999" customHeight="1" x14ac:dyDescent="0.25">
      <c r="A115" s="140">
        <v>4</v>
      </c>
      <c r="B115" s="127" t="s">
        <v>68</v>
      </c>
      <c r="C115" s="114">
        <f>L115/100*98</f>
        <v>205.8</v>
      </c>
      <c r="D115" s="117">
        <f>C115/100*573</f>
        <v>1179.2340000000002</v>
      </c>
      <c r="E115" s="181"/>
      <c r="F115" s="181">
        <f>C115/100*27.5</f>
        <v>56.595000000000006</v>
      </c>
      <c r="G115" s="181"/>
      <c r="H115" s="181">
        <f>C115/100*44.5</f>
        <v>91.581000000000017</v>
      </c>
      <c r="I115" s="181">
        <f>C115/100*15.5</f>
        <v>31.899000000000004</v>
      </c>
      <c r="J115" s="197">
        <f>C115/100*68</f>
        <v>139.94400000000002</v>
      </c>
      <c r="K115" s="197">
        <f>C115/100*0.44</f>
        <v>0.9055200000000001</v>
      </c>
      <c r="L115" s="161">
        <v>210</v>
      </c>
      <c r="M115" s="116">
        <v>70</v>
      </c>
      <c r="N115" s="114">
        <f t="shared" si="5"/>
        <v>14700</v>
      </c>
      <c r="O115" s="164"/>
      <c r="Q115" s="170"/>
      <c r="R115" s="170"/>
      <c r="S115" s="164"/>
    </row>
    <row r="116" spans="1:20" ht="19.149999999999999" customHeight="1" x14ac:dyDescent="0.25">
      <c r="A116" s="140">
        <v>5</v>
      </c>
      <c r="B116" s="127" t="s">
        <v>1</v>
      </c>
      <c r="C116" s="114">
        <f>L116/100*100</f>
        <v>2226</v>
      </c>
      <c r="D116" s="117">
        <f>C116/100*344</f>
        <v>7657.4400000000005</v>
      </c>
      <c r="E116" s="115"/>
      <c r="F116" s="118">
        <f>C116/100*7.9</f>
        <v>175.85400000000001</v>
      </c>
      <c r="G116" s="115"/>
      <c r="H116" s="115">
        <f>C116/100*1</f>
        <v>22.26</v>
      </c>
      <c r="I116" s="115">
        <f>C116/100*72.9</f>
        <v>1622.7540000000001</v>
      </c>
      <c r="J116" s="192">
        <f>C116/100*30</f>
        <v>667.80000000000007</v>
      </c>
      <c r="K116" s="192">
        <f>C116/100*0.1</f>
        <v>2.2260000000000004</v>
      </c>
      <c r="L116" s="116">
        <v>2226</v>
      </c>
      <c r="M116" s="141">
        <v>18</v>
      </c>
      <c r="N116" s="114">
        <f t="shared" si="5"/>
        <v>40068</v>
      </c>
      <c r="O116" s="164"/>
    </row>
    <row r="117" spans="1:20" ht="19.149999999999999" customHeight="1" x14ac:dyDescent="0.25">
      <c r="A117" s="140">
        <v>6</v>
      </c>
      <c r="B117" s="127" t="s">
        <v>103</v>
      </c>
      <c r="C117" s="114">
        <f>L117/100*87</f>
        <v>1296.3</v>
      </c>
      <c r="D117" s="117">
        <f>C117/100*14</f>
        <v>181.482</v>
      </c>
      <c r="E117" s="115"/>
      <c r="F117" s="115">
        <f>C117/100*1.9</f>
        <v>24.629699999999996</v>
      </c>
      <c r="G117" s="115"/>
      <c r="H117" s="115"/>
      <c r="I117" s="115">
        <f>C117/100*1.6</f>
        <v>20.7408</v>
      </c>
      <c r="J117" s="118">
        <f>C117/100*48.7</f>
        <v>631.29809999999998</v>
      </c>
      <c r="K117" s="115">
        <f>C117/100*0.03</f>
        <v>0.38888999999999996</v>
      </c>
      <c r="L117" s="116">
        <v>1490</v>
      </c>
      <c r="M117" s="141">
        <v>25</v>
      </c>
      <c r="N117" s="114">
        <f t="shared" si="5"/>
        <v>37250</v>
      </c>
      <c r="O117" s="164"/>
    </row>
    <row r="118" spans="1:20" ht="19.149999999999999" customHeight="1" x14ac:dyDescent="0.25">
      <c r="A118" s="140">
        <v>7</v>
      </c>
      <c r="B118" s="127" t="s">
        <v>136</v>
      </c>
      <c r="C118" s="114">
        <f>L118/100*100</f>
        <v>40</v>
      </c>
      <c r="D118" s="117">
        <f>C118/100*247</f>
        <v>98.800000000000011</v>
      </c>
      <c r="E118" s="181"/>
      <c r="F118" s="181">
        <f>C118/100*17.5</f>
        <v>7</v>
      </c>
      <c r="G118" s="181"/>
      <c r="H118" s="181">
        <f>C118/100*1.6</f>
        <v>0.64000000000000012</v>
      </c>
      <c r="I118" s="181">
        <f>C118/100*39.2</f>
        <v>15.680000000000001</v>
      </c>
      <c r="J118" s="197"/>
      <c r="K118" s="197"/>
      <c r="L118" s="161">
        <v>40</v>
      </c>
      <c r="M118" s="141">
        <v>50</v>
      </c>
      <c r="N118" s="114">
        <f t="shared" si="5"/>
        <v>2000</v>
      </c>
      <c r="O118" s="164"/>
      <c r="Q118" s="170"/>
      <c r="R118" s="170"/>
      <c r="S118" s="164"/>
      <c r="T118" s="170"/>
    </row>
    <row r="119" spans="1:20" ht="19.149999999999999" customHeight="1" x14ac:dyDescent="0.25">
      <c r="A119" s="140">
        <v>8</v>
      </c>
      <c r="B119" s="126" t="s">
        <v>71</v>
      </c>
      <c r="C119" s="114">
        <f>L119/100*98</f>
        <v>2342.1999999999998</v>
      </c>
      <c r="D119" s="117">
        <f>C119/100*139</f>
        <v>3255.6579999999994</v>
      </c>
      <c r="E119" s="118">
        <f>C119/100*19</f>
        <v>445.01799999999992</v>
      </c>
      <c r="F119" s="115"/>
      <c r="G119" s="115">
        <f>C119/100*7</f>
        <v>163.95399999999998</v>
      </c>
      <c r="H119" s="115"/>
      <c r="I119" s="115"/>
      <c r="J119" s="192">
        <f>C119/100*7</f>
        <v>163.95399999999998</v>
      </c>
      <c r="K119" s="192">
        <f>C119/100*0.9</f>
        <v>21.079799999999999</v>
      </c>
      <c r="L119" s="116">
        <v>2390</v>
      </c>
      <c r="M119" s="195">
        <v>130</v>
      </c>
      <c r="N119" s="147">
        <f t="shared" si="5"/>
        <v>310700</v>
      </c>
      <c r="O119" s="164"/>
    </row>
    <row r="120" spans="1:20" ht="19.149999999999999" customHeight="1" x14ac:dyDescent="0.25">
      <c r="A120" s="238">
        <v>9</v>
      </c>
      <c r="B120" s="198" t="s">
        <v>123</v>
      </c>
      <c r="C120" s="114"/>
      <c r="D120" s="117"/>
      <c r="E120" s="115"/>
      <c r="F120" s="115"/>
      <c r="G120" s="115"/>
      <c r="H120" s="115"/>
      <c r="I120" s="115"/>
      <c r="J120" s="115"/>
      <c r="K120" s="115"/>
      <c r="L120" s="116"/>
      <c r="M120" s="116"/>
      <c r="N120" s="114">
        <v>3400</v>
      </c>
      <c r="O120" s="164"/>
    </row>
    <row r="121" spans="1:20" ht="19.149999999999999" customHeight="1" x14ac:dyDescent="0.25">
      <c r="A121" s="199" t="s">
        <v>119</v>
      </c>
      <c r="B121" s="200"/>
      <c r="C121" s="201"/>
      <c r="D121" s="202">
        <f>SUM(D112:D120)</f>
        <v>15287.714</v>
      </c>
      <c r="E121" s="221"/>
      <c r="F121" s="221"/>
      <c r="G121" s="221"/>
      <c r="H121" s="221"/>
      <c r="I121" s="221"/>
      <c r="J121" s="221"/>
      <c r="K121" s="221"/>
      <c r="L121" s="222"/>
      <c r="M121" s="455"/>
      <c r="N121" s="508">
        <f>SUM(N112:N120)</f>
        <v>430043</v>
      </c>
      <c r="O121" s="164"/>
    </row>
    <row r="122" spans="1:20" ht="19.149999999999999" customHeight="1" x14ac:dyDescent="0.25">
      <c r="A122" s="199" t="s">
        <v>36</v>
      </c>
      <c r="B122" s="200"/>
      <c r="C122" s="240"/>
      <c r="D122" s="225">
        <f>D121/D91</f>
        <v>288.44743396226414</v>
      </c>
      <c r="E122" s="225"/>
      <c r="F122" s="225"/>
      <c r="G122" s="225"/>
      <c r="H122" s="225"/>
      <c r="I122" s="225"/>
      <c r="J122" s="225"/>
      <c r="K122" s="225"/>
      <c r="L122" s="241"/>
      <c r="M122" s="456"/>
      <c r="N122" s="510"/>
      <c r="O122" s="164"/>
    </row>
    <row r="123" spans="1:20" ht="19.149999999999999" customHeight="1" x14ac:dyDescent="0.25">
      <c r="A123" s="450" t="s">
        <v>54</v>
      </c>
      <c r="B123" s="451"/>
      <c r="C123" s="251" t="s">
        <v>151</v>
      </c>
      <c r="D123" s="208" t="s">
        <v>46</v>
      </c>
      <c r="E123" s="224"/>
      <c r="F123" s="224"/>
      <c r="G123" s="224"/>
      <c r="H123" s="224"/>
      <c r="I123" s="224"/>
      <c r="J123" s="225"/>
      <c r="K123" s="225"/>
      <c r="L123" s="222"/>
      <c r="M123" s="222"/>
      <c r="N123" s="226"/>
      <c r="O123" s="164"/>
    </row>
    <row r="124" spans="1:20" ht="19.149999999999999" customHeight="1" x14ac:dyDescent="0.25">
      <c r="A124" s="452"/>
      <c r="B124" s="453"/>
      <c r="C124" s="210" t="s">
        <v>60</v>
      </c>
      <c r="D124" s="239">
        <f>D122*100/930</f>
        <v>31.015853114221951</v>
      </c>
      <c r="E124" s="224"/>
      <c r="F124" s="224"/>
      <c r="G124" s="224"/>
      <c r="H124" s="224"/>
      <c r="I124" s="224"/>
      <c r="J124" s="225"/>
      <c r="K124" s="225"/>
      <c r="L124" s="222"/>
      <c r="M124" s="222"/>
      <c r="N124" s="226"/>
      <c r="O124" s="164"/>
    </row>
    <row r="125" spans="1:20" ht="19.149999999999999" customHeight="1" x14ac:dyDescent="0.3">
      <c r="A125" s="454" t="s">
        <v>35</v>
      </c>
      <c r="B125" s="454"/>
      <c r="C125" s="242"/>
      <c r="D125" s="243"/>
      <c r="E125" s="243"/>
      <c r="F125" s="243"/>
      <c r="G125" s="243"/>
      <c r="H125" s="243"/>
      <c r="I125" s="243"/>
      <c r="J125" s="243"/>
      <c r="K125" s="243"/>
      <c r="L125" s="244"/>
      <c r="M125" s="244"/>
      <c r="N125" s="245"/>
      <c r="O125" s="164"/>
    </row>
    <row r="126" spans="1:20" ht="19.149999999999999" customHeight="1" x14ac:dyDescent="0.25">
      <c r="A126" s="246">
        <v>1</v>
      </c>
      <c r="B126" s="218" t="s">
        <v>76</v>
      </c>
      <c r="C126" s="219">
        <f>L126/100*80</f>
        <v>6360</v>
      </c>
      <c r="D126" s="163">
        <f>C126/100*40</f>
        <v>2544</v>
      </c>
      <c r="E126" s="220"/>
      <c r="F126" s="220">
        <f>C126/100*1.3</f>
        <v>82.68</v>
      </c>
      <c r="G126" s="220"/>
      <c r="H126" s="220"/>
      <c r="I126" s="220">
        <f>C126/100*8.7</f>
        <v>553.31999999999994</v>
      </c>
      <c r="J126" s="220">
        <f>C126/100*11</f>
        <v>699.6</v>
      </c>
      <c r="K126" s="220"/>
      <c r="L126" s="259">
        <v>7950</v>
      </c>
      <c r="M126" s="247">
        <v>32</v>
      </c>
      <c r="N126" s="219">
        <f t="shared" ref="N126" si="6">L126*M126</f>
        <v>254400</v>
      </c>
      <c r="O126" s="164"/>
      <c r="P126" s="170"/>
    </row>
    <row r="127" spans="1:20" ht="19.149999999999999" customHeight="1" x14ac:dyDescent="0.25">
      <c r="A127" s="430" t="s">
        <v>66</v>
      </c>
      <c r="B127" s="433" t="s">
        <v>19</v>
      </c>
      <c r="C127" s="436" t="s">
        <v>8</v>
      </c>
      <c r="D127" s="433" t="s">
        <v>9</v>
      </c>
      <c r="E127" s="439" t="s">
        <v>11</v>
      </c>
      <c r="F127" s="440"/>
      <c r="G127" s="439" t="s">
        <v>13</v>
      </c>
      <c r="H127" s="440"/>
      <c r="I127" s="430" t="s">
        <v>16</v>
      </c>
      <c r="J127" s="430" t="s">
        <v>41</v>
      </c>
      <c r="K127" s="430" t="s">
        <v>42</v>
      </c>
      <c r="L127" s="430" t="s">
        <v>17</v>
      </c>
      <c r="M127" s="430" t="s">
        <v>56</v>
      </c>
      <c r="N127" s="430" t="s">
        <v>18</v>
      </c>
      <c r="O127" s="250"/>
    </row>
    <row r="128" spans="1:20" ht="19.149999999999999" customHeight="1" x14ac:dyDescent="0.25">
      <c r="A128" s="431"/>
      <c r="B128" s="434"/>
      <c r="C128" s="437"/>
      <c r="D128" s="434"/>
      <c r="E128" s="441"/>
      <c r="F128" s="442"/>
      <c r="G128" s="441"/>
      <c r="H128" s="442"/>
      <c r="I128" s="443"/>
      <c r="J128" s="443"/>
      <c r="K128" s="443"/>
      <c r="L128" s="443"/>
      <c r="M128" s="443"/>
      <c r="N128" s="431"/>
      <c r="O128" s="237"/>
    </row>
    <row r="129" spans="1:22" ht="19.149999999999999" customHeight="1" x14ac:dyDescent="0.25">
      <c r="A129" s="431"/>
      <c r="B129" s="434"/>
      <c r="C129" s="437"/>
      <c r="D129" s="434"/>
      <c r="E129" s="430" t="s">
        <v>10</v>
      </c>
      <c r="F129" s="430" t="s">
        <v>12</v>
      </c>
      <c r="G129" s="430" t="s">
        <v>14</v>
      </c>
      <c r="H129" s="430" t="s">
        <v>15</v>
      </c>
      <c r="I129" s="443"/>
      <c r="J129" s="443"/>
      <c r="K129" s="443"/>
      <c r="L129" s="443"/>
      <c r="M129" s="443"/>
      <c r="N129" s="431"/>
      <c r="O129" s="237"/>
    </row>
    <row r="130" spans="1:22" ht="19.149999999999999" customHeight="1" x14ac:dyDescent="0.25">
      <c r="A130" s="432"/>
      <c r="B130" s="435"/>
      <c r="C130" s="438"/>
      <c r="D130" s="435"/>
      <c r="E130" s="444"/>
      <c r="F130" s="444"/>
      <c r="G130" s="444"/>
      <c r="H130" s="444"/>
      <c r="I130" s="444"/>
      <c r="J130" s="444"/>
      <c r="K130" s="444"/>
      <c r="L130" s="444"/>
      <c r="M130" s="444"/>
      <c r="N130" s="432"/>
      <c r="O130" s="237"/>
    </row>
    <row r="131" spans="1:22" ht="19.149999999999999" customHeight="1" x14ac:dyDescent="0.25">
      <c r="A131" s="199" t="s">
        <v>106</v>
      </c>
      <c r="B131" s="200"/>
      <c r="C131" s="201"/>
      <c r="D131" s="206">
        <f>SUM(D125:D126)</f>
        <v>2544</v>
      </c>
      <c r="E131" s="221"/>
      <c r="F131" s="221"/>
      <c r="G131" s="221"/>
      <c r="H131" s="221"/>
      <c r="I131" s="221"/>
      <c r="J131" s="221"/>
      <c r="K131" s="221"/>
      <c r="L131" s="222"/>
      <c r="M131" s="455"/>
      <c r="N131" s="511">
        <f>SUM(N125:N126)</f>
        <v>254400</v>
      </c>
      <c r="O131" s="164"/>
    </row>
    <row r="132" spans="1:22" ht="19.149999999999999" customHeight="1" x14ac:dyDescent="0.25">
      <c r="A132" s="199" t="s">
        <v>7</v>
      </c>
      <c r="B132" s="200"/>
      <c r="C132" s="223"/>
      <c r="D132" s="224">
        <f>D131/D91</f>
        <v>48</v>
      </c>
      <c r="E132" s="224"/>
      <c r="F132" s="224"/>
      <c r="G132" s="224"/>
      <c r="H132" s="224"/>
      <c r="I132" s="224"/>
      <c r="J132" s="224"/>
      <c r="K132" s="224"/>
      <c r="L132" s="222"/>
      <c r="M132" s="456"/>
      <c r="N132" s="512"/>
      <c r="O132" s="164"/>
    </row>
    <row r="133" spans="1:22" ht="19.149999999999999" customHeight="1" x14ac:dyDescent="0.25">
      <c r="A133" s="450" t="s">
        <v>52</v>
      </c>
      <c r="B133" s="451"/>
      <c r="C133" s="251" t="s">
        <v>151</v>
      </c>
      <c r="D133" s="208" t="s">
        <v>50</v>
      </c>
      <c r="E133" s="224"/>
      <c r="F133" s="224"/>
      <c r="G133" s="224"/>
      <c r="H133" s="224"/>
      <c r="I133" s="224"/>
      <c r="J133" s="225"/>
      <c r="K133" s="225"/>
      <c r="L133" s="222"/>
      <c r="M133" s="222"/>
      <c r="N133" s="226"/>
      <c r="O133" s="164"/>
    </row>
    <row r="134" spans="1:22" ht="19.149999999999999" customHeight="1" x14ac:dyDescent="0.25">
      <c r="A134" s="452"/>
      <c r="B134" s="453"/>
      <c r="C134" s="210" t="s">
        <v>60</v>
      </c>
      <c r="D134" s="239">
        <f>D132*100/930</f>
        <v>5.161290322580645</v>
      </c>
      <c r="E134" s="224"/>
      <c r="F134" s="224"/>
      <c r="G134" s="224"/>
      <c r="H134" s="224"/>
      <c r="I134" s="224"/>
      <c r="J134" s="225"/>
      <c r="K134" s="225"/>
      <c r="L134" s="222"/>
      <c r="M134" s="222"/>
      <c r="N134" s="226"/>
      <c r="O134" s="164"/>
    </row>
    <row r="135" spans="1:22" ht="19.149999999999999" customHeight="1" x14ac:dyDescent="0.25">
      <c r="A135" s="513" t="s">
        <v>113</v>
      </c>
      <c r="B135" s="514"/>
      <c r="C135" s="457"/>
      <c r="D135" s="517">
        <f>D107+D121+D131</f>
        <v>33630.023499999996</v>
      </c>
      <c r="E135" s="248">
        <f>SUM(E97:E132)</f>
        <v>885.40039999999988</v>
      </c>
      <c r="F135" s="248">
        <f>SUM(F97:F132)</f>
        <v>556.72645</v>
      </c>
      <c r="G135" s="221">
        <f>SUM(G97:G132)</f>
        <v>884.31639999999993</v>
      </c>
      <c r="H135" s="221">
        <f>SUM(H97:H132)</f>
        <v>369.86299999999994</v>
      </c>
      <c r="I135" s="464">
        <f>SUM(I97:I132)</f>
        <v>4007.3901000000005</v>
      </c>
      <c r="J135" s="464">
        <f>SUM(J97:J126)</f>
        <v>5124.0105999999996</v>
      </c>
      <c r="K135" s="464">
        <f>SUM(K97:K126)</f>
        <v>40.111280000000001</v>
      </c>
      <c r="L135" s="466"/>
      <c r="M135" s="466"/>
      <c r="N135" s="467">
        <f>N107+N121+N131</f>
        <v>1166015</v>
      </c>
    </row>
    <row r="136" spans="1:22" ht="19.149999999999999" customHeight="1" x14ac:dyDescent="0.25">
      <c r="A136" s="515"/>
      <c r="B136" s="516"/>
      <c r="C136" s="458"/>
      <c r="D136" s="518"/>
      <c r="E136" s="468">
        <f>E135+F135</f>
        <v>1442.1268499999999</v>
      </c>
      <c r="F136" s="469"/>
      <c r="G136" s="388">
        <f>G135+H135</f>
        <v>1254.1794</v>
      </c>
      <c r="H136" s="389"/>
      <c r="I136" s="519"/>
      <c r="J136" s="519"/>
      <c r="K136" s="519"/>
      <c r="L136" s="466"/>
      <c r="M136" s="466"/>
      <c r="N136" s="467"/>
      <c r="Q136" s="333"/>
      <c r="R136" s="333"/>
      <c r="S136" s="333"/>
      <c r="T136" s="333"/>
      <c r="U136" s="346"/>
      <c r="V136" s="346"/>
    </row>
    <row r="137" spans="1:22" ht="19.149999999999999" customHeight="1" x14ac:dyDescent="0.25">
      <c r="A137" s="520" t="s">
        <v>77</v>
      </c>
      <c r="B137" s="521"/>
      <c r="C137" s="522"/>
      <c r="D137" s="120">
        <f>D135/D91</f>
        <v>634.52874528301879</v>
      </c>
      <c r="E137" s="165">
        <f>E135/D91</f>
        <v>16.705667924528299</v>
      </c>
      <c r="F137" s="178">
        <f>F135/D91</f>
        <v>10.504272641509434</v>
      </c>
      <c r="G137" s="174">
        <f>G135/D91</f>
        <v>16.685215094339622</v>
      </c>
      <c r="H137" s="175">
        <f>H135/D91</f>
        <v>6.9785471698113195</v>
      </c>
      <c r="I137" s="526">
        <f>I135/D91</f>
        <v>75.611133962264162</v>
      </c>
      <c r="J137" s="526">
        <f>J135/D91</f>
        <v>96.679445283018865</v>
      </c>
      <c r="K137" s="526">
        <f>K135/D91</f>
        <v>0.75681660377358495</v>
      </c>
      <c r="L137" s="466"/>
      <c r="M137" s="466"/>
      <c r="N137" s="467"/>
      <c r="P137" s="167"/>
      <c r="Q137" s="333"/>
      <c r="R137" s="333"/>
      <c r="S137" s="396"/>
      <c r="T137" s="396"/>
      <c r="U137" s="333"/>
      <c r="V137" s="333"/>
    </row>
    <row r="138" spans="1:22" ht="19.149999999999999" customHeight="1" x14ac:dyDescent="0.25">
      <c r="A138" s="523"/>
      <c r="B138" s="524"/>
      <c r="C138" s="525"/>
      <c r="D138" s="184"/>
      <c r="E138" s="369">
        <f>E137+F137</f>
        <v>27.209940566037734</v>
      </c>
      <c r="F138" s="370"/>
      <c r="G138" s="369">
        <f>G137+H137</f>
        <v>23.66376226415094</v>
      </c>
      <c r="H138" s="370"/>
      <c r="I138" s="527"/>
      <c r="J138" s="527"/>
      <c r="K138" s="527"/>
      <c r="L138" s="466"/>
      <c r="M138" s="466"/>
      <c r="N138" s="467"/>
    </row>
    <row r="139" spans="1:22" ht="19.149999999999999" customHeight="1" x14ac:dyDescent="0.25">
      <c r="A139" s="487" t="s">
        <v>80</v>
      </c>
      <c r="B139" s="488"/>
      <c r="C139" s="489"/>
      <c r="D139" s="189" t="s">
        <v>29</v>
      </c>
      <c r="E139" s="410" t="s">
        <v>24</v>
      </c>
      <c r="F139" s="410"/>
      <c r="G139" s="410" t="s">
        <v>25</v>
      </c>
      <c r="H139" s="410"/>
      <c r="I139" s="189" t="s">
        <v>26</v>
      </c>
      <c r="J139" s="231">
        <v>500</v>
      </c>
      <c r="K139" s="231">
        <v>0.5</v>
      </c>
      <c r="L139" s="466"/>
      <c r="M139" s="466"/>
      <c r="N139" s="467"/>
      <c r="O139" s="256"/>
    </row>
    <row r="140" spans="1:22" ht="19.149999999999999" customHeight="1" x14ac:dyDescent="0.25">
      <c r="A140" s="479" t="s">
        <v>78</v>
      </c>
      <c r="B140" s="480"/>
      <c r="C140" s="481"/>
      <c r="D140" s="228"/>
      <c r="E140" s="482">
        <f>E138*4.1</f>
        <v>111.56075632075469</v>
      </c>
      <c r="F140" s="483"/>
      <c r="G140" s="482">
        <f>G138*9</f>
        <v>212.97386037735845</v>
      </c>
      <c r="H140" s="483"/>
      <c r="I140" s="229">
        <f>I137*4.1</f>
        <v>310.00564924528305</v>
      </c>
      <c r="J140" s="484"/>
      <c r="K140" s="484"/>
      <c r="L140" s="466"/>
      <c r="M140" s="466"/>
      <c r="N140" s="467"/>
      <c r="O140" s="256"/>
      <c r="P140" s="170"/>
      <c r="Q140" s="155"/>
      <c r="R140" s="155"/>
      <c r="S140" s="155"/>
    </row>
    <row r="141" spans="1:22" ht="19.149999999999999" customHeight="1" x14ac:dyDescent="0.25">
      <c r="A141" s="490" t="s">
        <v>87</v>
      </c>
      <c r="B141" s="491"/>
      <c r="C141" s="479" t="s">
        <v>59</v>
      </c>
      <c r="D141" s="481"/>
      <c r="E141" s="482">
        <f>E140*100/D137</f>
        <v>17.581670988127616</v>
      </c>
      <c r="F141" s="483"/>
      <c r="G141" s="482">
        <f>G140*100/D137</f>
        <v>33.564099650420992</v>
      </c>
      <c r="H141" s="483"/>
      <c r="I141" s="229">
        <f>I140*100/D137</f>
        <v>48.856044986111904</v>
      </c>
      <c r="J141" s="485"/>
      <c r="K141" s="485"/>
      <c r="L141" s="466"/>
      <c r="M141" s="466"/>
      <c r="N141" s="467"/>
      <c r="O141" s="256"/>
    </row>
    <row r="142" spans="1:22" ht="19.149999999999999" customHeight="1" x14ac:dyDescent="0.25">
      <c r="A142" s="492"/>
      <c r="B142" s="493"/>
      <c r="C142" s="479" t="s">
        <v>79</v>
      </c>
      <c r="D142" s="481"/>
      <c r="E142" s="479" t="s">
        <v>82</v>
      </c>
      <c r="F142" s="481"/>
      <c r="G142" s="479" t="s">
        <v>85</v>
      </c>
      <c r="H142" s="481"/>
      <c r="I142" s="189" t="s">
        <v>86</v>
      </c>
      <c r="J142" s="486"/>
      <c r="K142" s="486"/>
      <c r="L142" s="466"/>
      <c r="M142" s="466"/>
      <c r="N142" s="467"/>
      <c r="O142" s="256"/>
      <c r="P142" s="170"/>
    </row>
    <row r="143" spans="1:22" ht="19.149999999999999" customHeight="1" x14ac:dyDescent="0.25">
      <c r="A143" s="232"/>
      <c r="B143" s="232"/>
      <c r="C143" s="232"/>
      <c r="D143" s="232"/>
      <c r="E143" s="232"/>
      <c r="F143" s="232"/>
      <c r="G143" s="232"/>
      <c r="H143" s="232"/>
      <c r="I143" s="232"/>
      <c r="J143" s="232"/>
      <c r="K143" s="232"/>
      <c r="L143" s="233"/>
      <c r="M143" s="233"/>
      <c r="N143" s="234"/>
      <c r="O143" s="256"/>
    </row>
    <row r="144" spans="1:22" ht="21" customHeight="1" x14ac:dyDescent="0.25">
      <c r="A144" s="494" t="s">
        <v>114</v>
      </c>
      <c r="B144" s="494"/>
      <c r="C144" s="494"/>
      <c r="D144" s="494"/>
      <c r="E144" s="494"/>
      <c r="F144" s="494"/>
      <c r="G144" s="494"/>
      <c r="H144" s="494"/>
      <c r="I144" s="494"/>
      <c r="J144" s="494"/>
      <c r="K144" s="494"/>
      <c r="L144" s="494"/>
      <c r="M144" s="494"/>
      <c r="N144" s="494"/>
      <c r="O144" s="256"/>
    </row>
    <row r="145" spans="1:15" ht="21" customHeight="1" x14ac:dyDescent="0.25">
      <c r="A145" s="235" t="s">
        <v>115</v>
      </c>
      <c r="B145" s="495" t="s">
        <v>116</v>
      </c>
      <c r="C145" s="495"/>
      <c r="D145" s="495"/>
      <c r="E145" s="495"/>
      <c r="F145" s="495"/>
      <c r="G145" s="495"/>
      <c r="H145" s="495"/>
      <c r="I145" s="495"/>
      <c r="J145" s="495"/>
      <c r="K145" s="495"/>
      <c r="L145" s="495"/>
      <c r="M145" s="495"/>
      <c r="N145" s="495"/>
      <c r="O145" s="256"/>
    </row>
    <row r="146" spans="1:15" ht="21" customHeight="1" x14ac:dyDescent="0.25">
      <c r="A146" s="236"/>
      <c r="B146" s="496" t="s">
        <v>214</v>
      </c>
      <c r="C146" s="496"/>
      <c r="D146" s="496"/>
      <c r="E146" s="496"/>
      <c r="F146" s="496"/>
      <c r="G146" s="496"/>
      <c r="H146" s="496"/>
      <c r="I146" s="496"/>
      <c r="J146" s="496"/>
      <c r="K146" s="496"/>
      <c r="L146" s="496"/>
      <c r="M146" s="496"/>
      <c r="N146" s="496"/>
      <c r="O146" s="256"/>
    </row>
    <row r="147" spans="1:15" ht="21" customHeight="1" x14ac:dyDescent="0.25">
      <c r="A147" s="236"/>
      <c r="B147" s="496" t="s">
        <v>215</v>
      </c>
      <c r="C147" s="496"/>
      <c r="D147" s="496"/>
      <c r="E147" s="496"/>
      <c r="F147" s="496"/>
      <c r="G147" s="496"/>
      <c r="H147" s="496"/>
      <c r="I147" s="496"/>
      <c r="J147" s="496"/>
      <c r="K147" s="496"/>
      <c r="L147" s="496"/>
      <c r="M147" s="496"/>
      <c r="N147" s="496"/>
      <c r="O147" s="256"/>
    </row>
    <row r="148" spans="1:15" ht="21" customHeight="1" x14ac:dyDescent="0.25">
      <c r="A148" s="236"/>
      <c r="B148" s="496" t="s">
        <v>193</v>
      </c>
      <c r="C148" s="496"/>
      <c r="D148" s="496"/>
      <c r="E148" s="496"/>
      <c r="F148" s="496"/>
      <c r="G148" s="496"/>
      <c r="H148" s="496"/>
      <c r="I148" s="496"/>
      <c r="J148" s="496"/>
      <c r="K148" s="496"/>
      <c r="L148" s="496"/>
      <c r="M148" s="496"/>
      <c r="N148" s="496"/>
      <c r="O148" s="256"/>
    </row>
    <row r="149" spans="1:15" ht="21" customHeight="1" x14ac:dyDescent="0.25">
      <c r="A149" s="232"/>
      <c r="B149" s="497" t="s">
        <v>128</v>
      </c>
      <c r="C149" s="497"/>
      <c r="D149" s="497"/>
      <c r="E149" s="497"/>
      <c r="F149" s="497"/>
      <c r="G149" s="497"/>
      <c r="H149" s="497"/>
      <c r="I149" s="497"/>
      <c r="J149" s="497"/>
      <c r="K149" s="497"/>
      <c r="L149" s="497"/>
      <c r="M149" s="497"/>
      <c r="N149" s="497"/>
      <c r="O149" s="256"/>
    </row>
    <row r="150" spans="1:15" ht="21" customHeight="1" x14ac:dyDescent="0.25">
      <c r="A150" s="232"/>
      <c r="B150" s="232"/>
      <c r="C150" s="232"/>
      <c r="D150" s="232"/>
      <c r="E150" s="232"/>
      <c r="F150" s="232"/>
      <c r="G150" s="232"/>
      <c r="H150" s="232"/>
      <c r="I150" s="232"/>
      <c r="J150" s="232"/>
      <c r="K150" s="232"/>
      <c r="L150" s="233"/>
      <c r="M150" s="233"/>
      <c r="N150" s="234"/>
      <c r="O150" s="256"/>
    </row>
    <row r="151" spans="1:15" ht="21" customHeight="1" x14ac:dyDescent="0.25">
      <c r="A151" s="498" t="s">
        <v>62</v>
      </c>
      <c r="B151" s="498"/>
      <c r="C151" s="498"/>
      <c r="D151" s="498"/>
      <c r="E151" s="257"/>
      <c r="F151" s="257"/>
      <c r="G151" s="257"/>
      <c r="H151" s="257"/>
      <c r="I151" s="257"/>
      <c r="J151" s="499" t="s">
        <v>33</v>
      </c>
      <c r="K151" s="499"/>
      <c r="L151" s="499"/>
      <c r="M151" s="499"/>
      <c r="N151" s="499"/>
      <c r="O151" s="256"/>
    </row>
    <row r="152" spans="1:15" ht="21" customHeight="1" x14ac:dyDescent="0.25">
      <c r="A152" s="237"/>
      <c r="B152" s="237"/>
      <c r="C152" s="237"/>
      <c r="D152" s="257"/>
      <c r="E152" s="257"/>
      <c r="F152" s="257"/>
      <c r="G152" s="257"/>
      <c r="H152" s="258"/>
      <c r="I152" s="258"/>
      <c r="J152" s="258"/>
      <c r="K152" s="258"/>
      <c r="L152" s="258"/>
      <c r="M152" s="258"/>
      <c r="N152" s="258"/>
      <c r="O152" s="256"/>
    </row>
    <row r="153" spans="1:15" ht="21" customHeight="1" x14ac:dyDescent="0.25">
      <c r="A153" s="237"/>
      <c r="B153" s="237"/>
      <c r="C153" s="237"/>
      <c r="D153" s="257"/>
      <c r="E153" s="257"/>
      <c r="F153" s="257"/>
      <c r="G153" s="257"/>
      <c r="H153" s="258"/>
      <c r="I153" s="258"/>
      <c r="J153" s="258"/>
      <c r="K153" s="258"/>
      <c r="L153" s="258"/>
      <c r="M153" s="258"/>
      <c r="N153" s="258"/>
      <c r="O153" s="256"/>
    </row>
    <row r="154" spans="1:15" ht="21" customHeight="1" x14ac:dyDescent="0.25">
      <c r="A154" s="237"/>
      <c r="B154" s="237"/>
      <c r="C154" s="237"/>
      <c r="D154" s="257"/>
      <c r="E154" s="257"/>
      <c r="F154" s="257"/>
      <c r="G154" s="257"/>
      <c r="H154" s="258"/>
      <c r="I154" s="258"/>
      <c r="J154" s="500" t="s">
        <v>124</v>
      </c>
      <c r="K154" s="500"/>
      <c r="L154" s="500"/>
      <c r="M154" s="500"/>
      <c r="N154" s="500"/>
      <c r="O154" s="256"/>
    </row>
    <row r="155" spans="1:15" ht="21" customHeight="1" x14ac:dyDescent="0.25">
      <c r="A155" s="501" t="s">
        <v>91</v>
      </c>
      <c r="B155" s="501"/>
      <c r="C155" s="501"/>
      <c r="D155" s="501"/>
      <c r="E155" s="257"/>
      <c r="F155" s="257"/>
      <c r="G155" s="257"/>
      <c r="H155" s="258"/>
      <c r="I155" s="258"/>
      <c r="J155" s="500"/>
      <c r="K155" s="500"/>
      <c r="L155" s="500"/>
      <c r="M155" s="500"/>
      <c r="N155" s="500"/>
      <c r="O155" s="256"/>
    </row>
    <row r="157" spans="1:15" ht="19.149999999999999" customHeight="1" x14ac:dyDescent="0.25">
      <c r="J157" s="500" t="s">
        <v>127</v>
      </c>
      <c r="K157" s="500"/>
      <c r="L157" s="500"/>
      <c r="M157" s="500"/>
      <c r="N157" s="500"/>
    </row>
  </sheetData>
  <mergeCells count="205">
    <mergeCell ref="B148:N148"/>
    <mergeCell ref="B149:N149"/>
    <mergeCell ref="A151:D151"/>
    <mergeCell ref="J151:N151"/>
    <mergeCell ref="J154:N154"/>
    <mergeCell ref="A155:D155"/>
    <mergeCell ref="J155:N155"/>
    <mergeCell ref="J157:N157"/>
    <mergeCell ref="E141:F141"/>
    <mergeCell ref="G141:H141"/>
    <mergeCell ref="C142:D142"/>
    <mergeCell ref="E142:F142"/>
    <mergeCell ref="G142:H142"/>
    <mergeCell ref="A144:N144"/>
    <mergeCell ref="B145:N145"/>
    <mergeCell ref="B146:N146"/>
    <mergeCell ref="B147:N147"/>
    <mergeCell ref="Q136:R136"/>
    <mergeCell ref="S136:T136"/>
    <mergeCell ref="U136:V136"/>
    <mergeCell ref="A137:C138"/>
    <mergeCell ref="I137:I138"/>
    <mergeCell ref="J137:J138"/>
    <mergeCell ref="K137:K138"/>
    <mergeCell ref="Q137:R137"/>
    <mergeCell ref="S137:T137"/>
    <mergeCell ref="U137:V137"/>
    <mergeCell ref="E138:F138"/>
    <mergeCell ref="G138:H138"/>
    <mergeCell ref="M131:M132"/>
    <mergeCell ref="N131:N132"/>
    <mergeCell ref="A133:B134"/>
    <mergeCell ref="A135:B136"/>
    <mergeCell ref="C135:C136"/>
    <mergeCell ref="D135:D136"/>
    <mergeCell ref="I135:I136"/>
    <mergeCell ref="J135:J136"/>
    <mergeCell ref="K135:K136"/>
    <mergeCell ref="L135:L142"/>
    <mergeCell ref="M135:M142"/>
    <mergeCell ref="N135:N142"/>
    <mergeCell ref="E136:F136"/>
    <mergeCell ref="G136:H136"/>
    <mergeCell ref="A139:C139"/>
    <mergeCell ref="E139:F139"/>
    <mergeCell ref="G139:H139"/>
    <mergeCell ref="A140:C140"/>
    <mergeCell ref="E140:F140"/>
    <mergeCell ref="G140:H140"/>
    <mergeCell ref="J140:J142"/>
    <mergeCell ref="K140:K142"/>
    <mergeCell ref="A141:B142"/>
    <mergeCell ref="C141:D141"/>
    <mergeCell ref="M107:M108"/>
    <mergeCell ref="N107:N108"/>
    <mergeCell ref="A109:B110"/>
    <mergeCell ref="A111:B111"/>
    <mergeCell ref="M121:M122"/>
    <mergeCell ref="N121:N122"/>
    <mergeCell ref="A123:B124"/>
    <mergeCell ref="A125:B125"/>
    <mergeCell ref="A127:A130"/>
    <mergeCell ref="B127:B130"/>
    <mergeCell ref="C127:C130"/>
    <mergeCell ref="D127:D130"/>
    <mergeCell ref="E127:F128"/>
    <mergeCell ref="G127:H128"/>
    <mergeCell ref="I127:I130"/>
    <mergeCell ref="J127:J130"/>
    <mergeCell ref="K127:K130"/>
    <mergeCell ref="L127:L130"/>
    <mergeCell ref="M127:M130"/>
    <mergeCell ref="N127:N130"/>
    <mergeCell ref="E129:E130"/>
    <mergeCell ref="F129:F130"/>
    <mergeCell ref="G129:G130"/>
    <mergeCell ref="H129:H130"/>
    <mergeCell ref="K92:K95"/>
    <mergeCell ref="L92:L95"/>
    <mergeCell ref="M92:M95"/>
    <mergeCell ref="N92:N95"/>
    <mergeCell ref="E94:E95"/>
    <mergeCell ref="F94:F95"/>
    <mergeCell ref="G94:G95"/>
    <mergeCell ref="H94:H95"/>
    <mergeCell ref="A96:N96"/>
    <mergeCell ref="A91:C91"/>
    <mergeCell ref="A92:A95"/>
    <mergeCell ref="B92:B95"/>
    <mergeCell ref="C92:C95"/>
    <mergeCell ref="D92:D95"/>
    <mergeCell ref="E92:F93"/>
    <mergeCell ref="G92:H93"/>
    <mergeCell ref="I92:I95"/>
    <mergeCell ref="J92:J95"/>
    <mergeCell ref="J73:N73"/>
    <mergeCell ref="F84:N84"/>
    <mergeCell ref="A86:D87"/>
    <mergeCell ref="E86:N86"/>
    <mergeCell ref="E87:I87"/>
    <mergeCell ref="J87:N87"/>
    <mergeCell ref="A88:D88"/>
    <mergeCell ref="E88:I90"/>
    <mergeCell ref="J88:N88"/>
    <mergeCell ref="A89:D89"/>
    <mergeCell ref="J89:N89"/>
    <mergeCell ref="A90:D90"/>
    <mergeCell ref="J90:N90"/>
    <mergeCell ref="B60:N60"/>
    <mergeCell ref="B61:N61"/>
    <mergeCell ref="B62:N62"/>
    <mergeCell ref="B63:N63"/>
    <mergeCell ref="B64:N64"/>
    <mergeCell ref="A66:D66"/>
    <mergeCell ref="J66:N66"/>
    <mergeCell ref="J69:N69"/>
    <mergeCell ref="A70:D70"/>
    <mergeCell ref="K55:K57"/>
    <mergeCell ref="A56:B57"/>
    <mergeCell ref="C56:D56"/>
    <mergeCell ref="E56:F56"/>
    <mergeCell ref="G56:H56"/>
    <mergeCell ref="C57:D57"/>
    <mergeCell ref="E57:F57"/>
    <mergeCell ref="G57:H57"/>
    <mergeCell ref="A59:N59"/>
    <mergeCell ref="Q53:R53"/>
    <mergeCell ref="S53:T53"/>
    <mergeCell ref="U53:V53"/>
    <mergeCell ref="A54:C54"/>
    <mergeCell ref="E54:F54"/>
    <mergeCell ref="G54:H54"/>
    <mergeCell ref="Q54:R54"/>
    <mergeCell ref="S54:T54"/>
    <mergeCell ref="U54:V54"/>
    <mergeCell ref="M46:M47"/>
    <mergeCell ref="N46:N47"/>
    <mergeCell ref="A48:B49"/>
    <mergeCell ref="A50:B51"/>
    <mergeCell ref="C50:C51"/>
    <mergeCell ref="D50:D51"/>
    <mergeCell ref="I50:I51"/>
    <mergeCell ref="J50:J51"/>
    <mergeCell ref="K50:K51"/>
    <mergeCell ref="L50:L57"/>
    <mergeCell ref="M50:M57"/>
    <mergeCell ref="N50:N57"/>
    <mergeCell ref="E51:F51"/>
    <mergeCell ref="G51:H51"/>
    <mergeCell ref="A52:C53"/>
    <mergeCell ref="I52:I53"/>
    <mergeCell ref="J52:J53"/>
    <mergeCell ref="K52:K53"/>
    <mergeCell ref="E53:F53"/>
    <mergeCell ref="G53:H53"/>
    <mergeCell ref="A55:C55"/>
    <mergeCell ref="E55:F55"/>
    <mergeCell ref="G55:H55"/>
    <mergeCell ref="J55:J57"/>
    <mergeCell ref="N28:N29"/>
    <mergeCell ref="A30:B31"/>
    <mergeCell ref="A32:B32"/>
    <mergeCell ref="A42:A45"/>
    <mergeCell ref="B42:B45"/>
    <mergeCell ref="C42:C45"/>
    <mergeCell ref="D42:D45"/>
    <mergeCell ref="E42:F43"/>
    <mergeCell ref="G42:H43"/>
    <mergeCell ref="I42:I45"/>
    <mergeCell ref="J42:J45"/>
    <mergeCell ref="K42:K45"/>
    <mergeCell ref="L42:L45"/>
    <mergeCell ref="M42:M45"/>
    <mergeCell ref="N42:N45"/>
    <mergeCell ref="E44:E45"/>
    <mergeCell ref="F44:F45"/>
    <mergeCell ref="G44:G45"/>
    <mergeCell ref="H44:H45"/>
    <mergeCell ref="K11:K14"/>
    <mergeCell ref="L11:L14"/>
    <mergeCell ref="M11:M14"/>
    <mergeCell ref="N11:N14"/>
    <mergeCell ref="E13:E14"/>
    <mergeCell ref="F13:F14"/>
    <mergeCell ref="G13:G14"/>
    <mergeCell ref="H13:H14"/>
    <mergeCell ref="A15:N15"/>
    <mergeCell ref="A10:C10"/>
    <mergeCell ref="A11:A14"/>
    <mergeCell ref="B11:B14"/>
    <mergeCell ref="C11:C14"/>
    <mergeCell ref="D11:D14"/>
    <mergeCell ref="E11:F12"/>
    <mergeCell ref="G11:H12"/>
    <mergeCell ref="I11:I14"/>
    <mergeCell ref="J11:J14"/>
    <mergeCell ref="F1:N1"/>
    <mergeCell ref="A5:D5"/>
    <mergeCell ref="E5:N5"/>
    <mergeCell ref="A6:D6"/>
    <mergeCell ref="E6:I9"/>
    <mergeCell ref="J6:N9"/>
    <mergeCell ref="A7:D7"/>
    <mergeCell ref="A8:D8"/>
    <mergeCell ref="A9:D9"/>
  </mergeCells>
  <pageMargins left="0.5" right="7.4999999999999997E-2" top="0.44166666666666665" bottom="0.47499999999999998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65"/>
  <sheetViews>
    <sheetView view="pageLayout" workbookViewId="0">
      <selection activeCell="Q146" sqref="Q146:R146"/>
    </sheetView>
  </sheetViews>
  <sheetFormatPr defaultColWidth="9.140625" defaultRowHeight="20.45" customHeight="1" x14ac:dyDescent="0.25"/>
  <cols>
    <col min="1" max="1" width="3.28515625" style="1" customWidth="1"/>
    <col min="2" max="2" width="12.42578125" style="1" customWidth="1"/>
    <col min="3" max="3" width="7.140625" style="1" customWidth="1"/>
    <col min="4" max="4" width="7.7109375" style="1" customWidth="1"/>
    <col min="5" max="8" width="6.5703125" style="1" customWidth="1"/>
    <col min="9" max="9" width="6.7109375" style="1" customWidth="1"/>
    <col min="10" max="10" width="7.5703125" style="1" customWidth="1"/>
    <col min="11" max="11" width="6.7109375" style="1" customWidth="1"/>
    <col min="12" max="12" width="5" style="1" customWidth="1"/>
    <col min="13" max="13" width="5.28515625" style="1" customWidth="1"/>
    <col min="14" max="14" width="7.42578125" style="1" customWidth="1"/>
    <col min="15" max="15" width="11.85546875" style="1" customWidth="1"/>
    <col min="16" max="16" width="9.140625" style="1"/>
    <col min="17" max="22" width="9" style="1" customWidth="1"/>
    <col min="23" max="16384" width="9.140625" style="1"/>
  </cols>
  <sheetData>
    <row r="1" spans="1:16" ht="23.45" customHeight="1" x14ac:dyDescent="0.3">
      <c r="A1" s="10" t="s">
        <v>61</v>
      </c>
      <c r="B1" s="7"/>
      <c r="C1" s="7"/>
      <c r="D1" s="7"/>
      <c r="E1" s="7"/>
      <c r="F1" s="378" t="s">
        <v>31</v>
      </c>
      <c r="G1" s="378"/>
      <c r="H1" s="378"/>
      <c r="I1" s="378"/>
      <c r="J1" s="378"/>
      <c r="K1" s="378"/>
      <c r="L1" s="378"/>
      <c r="M1" s="378"/>
      <c r="N1" s="378"/>
      <c r="O1" s="156"/>
      <c r="P1" s="156"/>
    </row>
    <row r="2" spans="1:16" ht="12.6" customHeight="1" x14ac:dyDescent="0.3">
      <c r="A2" s="10"/>
      <c r="B2" s="7"/>
      <c r="C2" s="7"/>
      <c r="D2" s="7"/>
      <c r="E2" s="7"/>
      <c r="F2" s="154"/>
      <c r="G2" s="154"/>
      <c r="H2" s="154"/>
      <c r="I2" s="154"/>
      <c r="J2" s="154"/>
      <c r="K2" s="154"/>
      <c r="L2" s="154"/>
      <c r="M2" s="154"/>
      <c r="N2" s="154"/>
      <c r="O2" s="156"/>
      <c r="P2" s="156"/>
    </row>
    <row r="3" spans="1:16" ht="23.45" customHeight="1" x14ac:dyDescent="0.3">
      <c r="A3" s="7" t="s">
        <v>216</v>
      </c>
      <c r="B3" s="7"/>
      <c r="C3" s="7"/>
      <c r="D3" s="7"/>
      <c r="E3" s="7"/>
      <c r="F3" s="154"/>
      <c r="G3" s="154"/>
      <c r="H3" s="154"/>
      <c r="I3" s="154"/>
      <c r="J3" s="154"/>
      <c r="K3" s="154"/>
      <c r="L3" s="154"/>
      <c r="M3" s="154"/>
      <c r="N3" s="154"/>
      <c r="O3" s="156"/>
      <c r="P3" s="156"/>
    </row>
    <row r="4" spans="1:16" ht="12.6" customHeight="1" x14ac:dyDescent="0.3">
      <c r="A4" s="7"/>
      <c r="B4" s="7"/>
      <c r="C4" s="7"/>
      <c r="D4" s="7"/>
      <c r="E4" s="7"/>
      <c r="F4" s="154"/>
      <c r="G4" s="154"/>
      <c r="H4" s="154"/>
      <c r="I4" s="154"/>
      <c r="J4" s="154"/>
      <c r="K4" s="154"/>
      <c r="L4" s="154"/>
      <c r="M4" s="154"/>
      <c r="N4" s="154"/>
      <c r="O4" s="156"/>
      <c r="P4" s="156"/>
    </row>
    <row r="5" spans="1:16" ht="19.149999999999999" customHeight="1" x14ac:dyDescent="0.25">
      <c r="A5" s="279" t="s">
        <v>97</v>
      </c>
      <c r="B5" s="279"/>
      <c r="C5" s="279"/>
      <c r="D5" s="279"/>
      <c r="E5" s="279" t="s">
        <v>98</v>
      </c>
      <c r="F5" s="279"/>
      <c r="G5" s="279"/>
      <c r="H5" s="279"/>
      <c r="I5" s="279"/>
      <c r="J5" s="279"/>
      <c r="K5" s="279"/>
      <c r="L5" s="279"/>
      <c r="M5" s="279"/>
      <c r="N5" s="279"/>
      <c r="O5" s="157"/>
    </row>
    <row r="6" spans="1:16" ht="19.149999999999999" customHeight="1" x14ac:dyDescent="0.25">
      <c r="A6" s="280" t="s">
        <v>90</v>
      </c>
      <c r="B6" s="280"/>
      <c r="C6" s="280"/>
      <c r="D6" s="280"/>
      <c r="E6" s="284" t="s">
        <v>169</v>
      </c>
      <c r="F6" s="285"/>
      <c r="G6" s="285"/>
      <c r="H6" s="285"/>
      <c r="I6" s="286"/>
      <c r="J6" s="284" t="s">
        <v>137</v>
      </c>
      <c r="K6" s="285"/>
      <c r="L6" s="285"/>
      <c r="M6" s="285"/>
      <c r="N6" s="286"/>
      <c r="O6" s="157"/>
    </row>
    <row r="7" spans="1:16" ht="19.149999999999999" customHeight="1" x14ac:dyDescent="0.25">
      <c r="A7" s="535" t="s">
        <v>168</v>
      </c>
      <c r="B7" s="536"/>
      <c r="C7" s="536"/>
      <c r="D7" s="537"/>
      <c r="E7" s="287"/>
      <c r="F7" s="288"/>
      <c r="G7" s="288"/>
      <c r="H7" s="288"/>
      <c r="I7" s="289"/>
      <c r="J7" s="287"/>
      <c r="K7" s="288"/>
      <c r="L7" s="288"/>
      <c r="M7" s="288"/>
      <c r="N7" s="289"/>
      <c r="O7" s="157"/>
    </row>
    <row r="8" spans="1:16" ht="19.149999999999999" customHeight="1" x14ac:dyDescent="0.25">
      <c r="A8" s="535" t="s">
        <v>190</v>
      </c>
      <c r="B8" s="536"/>
      <c r="C8" s="536"/>
      <c r="D8" s="537"/>
      <c r="E8" s="287"/>
      <c r="F8" s="288"/>
      <c r="G8" s="288"/>
      <c r="H8" s="288"/>
      <c r="I8" s="289"/>
      <c r="J8" s="287"/>
      <c r="K8" s="288"/>
      <c r="L8" s="288"/>
      <c r="M8" s="288"/>
      <c r="N8" s="289"/>
      <c r="O8" s="157"/>
    </row>
    <row r="9" spans="1:16" ht="19.149999999999999" customHeight="1" x14ac:dyDescent="0.25">
      <c r="A9" s="547" t="s">
        <v>191</v>
      </c>
      <c r="B9" s="547"/>
      <c r="C9" s="547"/>
      <c r="D9" s="547"/>
      <c r="E9" s="290"/>
      <c r="F9" s="291"/>
      <c r="G9" s="291"/>
      <c r="H9" s="291"/>
      <c r="I9" s="292"/>
      <c r="J9" s="290"/>
      <c r="K9" s="291"/>
      <c r="L9" s="291"/>
      <c r="M9" s="291"/>
      <c r="N9" s="292"/>
      <c r="O9" s="157"/>
    </row>
    <row r="10" spans="1:16" ht="19.149999999999999" customHeight="1" x14ac:dyDescent="0.25">
      <c r="A10" s="309" t="s">
        <v>122</v>
      </c>
      <c r="B10" s="310"/>
      <c r="C10" s="311"/>
      <c r="D10" s="108">
        <v>196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157"/>
    </row>
    <row r="11" spans="1:16" ht="21" customHeight="1" x14ac:dyDescent="0.25">
      <c r="A11" s="293" t="s">
        <v>0</v>
      </c>
      <c r="B11" s="296" t="s">
        <v>19</v>
      </c>
      <c r="C11" s="296" t="s">
        <v>8</v>
      </c>
      <c r="D11" s="296" t="s">
        <v>9</v>
      </c>
      <c r="E11" s="299" t="s">
        <v>11</v>
      </c>
      <c r="F11" s="300"/>
      <c r="G11" s="299" t="s">
        <v>13</v>
      </c>
      <c r="H11" s="300"/>
      <c r="I11" s="293" t="s">
        <v>16</v>
      </c>
      <c r="J11" s="293" t="s">
        <v>41</v>
      </c>
      <c r="K11" s="293" t="s">
        <v>42</v>
      </c>
      <c r="L11" s="528" t="s">
        <v>17</v>
      </c>
      <c r="M11" s="293" t="s">
        <v>57</v>
      </c>
      <c r="N11" s="293" t="s">
        <v>18</v>
      </c>
      <c r="O11" s="158"/>
    </row>
    <row r="12" spans="1:16" ht="21" customHeight="1" x14ac:dyDescent="0.25">
      <c r="A12" s="294"/>
      <c r="B12" s="297"/>
      <c r="C12" s="297"/>
      <c r="D12" s="297"/>
      <c r="E12" s="301"/>
      <c r="F12" s="302"/>
      <c r="G12" s="301"/>
      <c r="H12" s="302"/>
      <c r="I12" s="303"/>
      <c r="J12" s="303"/>
      <c r="K12" s="303"/>
      <c r="L12" s="529"/>
      <c r="M12" s="303"/>
      <c r="N12" s="294"/>
      <c r="O12" s="149"/>
    </row>
    <row r="13" spans="1:16" ht="21" customHeight="1" x14ac:dyDescent="0.25">
      <c r="A13" s="294"/>
      <c r="B13" s="297"/>
      <c r="C13" s="297"/>
      <c r="D13" s="297"/>
      <c r="E13" s="293" t="s">
        <v>10</v>
      </c>
      <c r="F13" s="293" t="s">
        <v>12</v>
      </c>
      <c r="G13" s="293" t="s">
        <v>14</v>
      </c>
      <c r="H13" s="293" t="s">
        <v>15</v>
      </c>
      <c r="I13" s="303"/>
      <c r="J13" s="303"/>
      <c r="K13" s="303"/>
      <c r="L13" s="529"/>
      <c r="M13" s="303"/>
      <c r="N13" s="294"/>
      <c r="O13" s="149"/>
    </row>
    <row r="14" spans="1:16" ht="21" customHeight="1" x14ac:dyDescent="0.25">
      <c r="A14" s="295"/>
      <c r="B14" s="298"/>
      <c r="C14" s="298"/>
      <c r="D14" s="298"/>
      <c r="E14" s="304"/>
      <c r="F14" s="304"/>
      <c r="G14" s="304"/>
      <c r="H14" s="304"/>
      <c r="I14" s="304"/>
      <c r="J14" s="304"/>
      <c r="K14" s="304"/>
      <c r="L14" s="530"/>
      <c r="M14" s="304"/>
      <c r="N14" s="295"/>
      <c r="O14" s="149"/>
    </row>
    <row r="15" spans="1:16" ht="18.600000000000001" customHeight="1" x14ac:dyDescent="0.25">
      <c r="A15" s="318" t="s">
        <v>34</v>
      </c>
      <c r="B15" s="319"/>
      <c r="C15" s="319"/>
      <c r="D15" s="319"/>
      <c r="E15" s="319"/>
      <c r="F15" s="319"/>
      <c r="G15" s="319"/>
      <c r="H15" s="319"/>
      <c r="I15" s="319"/>
      <c r="J15" s="319"/>
      <c r="K15" s="319"/>
      <c r="L15" s="319"/>
      <c r="M15" s="319"/>
      <c r="N15" s="320"/>
      <c r="O15" s="149"/>
    </row>
    <row r="16" spans="1:16" ht="18.600000000000001" customHeight="1" x14ac:dyDescent="0.25">
      <c r="A16" s="8">
        <v>1</v>
      </c>
      <c r="B16" s="9" t="s">
        <v>2</v>
      </c>
      <c r="C16" s="20">
        <f>L16/100*100</f>
        <v>260</v>
      </c>
      <c r="D16" s="21">
        <f>C16/100*60</f>
        <v>156</v>
      </c>
      <c r="E16" s="22">
        <f>C16/100*15</f>
        <v>39</v>
      </c>
      <c r="F16" s="22"/>
      <c r="G16" s="22"/>
      <c r="H16" s="22"/>
      <c r="I16" s="22"/>
      <c r="J16" s="66">
        <f>C16/100*387</f>
        <v>1006.2</v>
      </c>
      <c r="K16" s="24">
        <f>C16/100*0.09</f>
        <v>0.23399999999999999</v>
      </c>
      <c r="L16" s="116">
        <v>260</v>
      </c>
      <c r="M16" s="61">
        <v>20</v>
      </c>
      <c r="N16" s="20">
        <f>L16*M16</f>
        <v>5200</v>
      </c>
      <c r="O16" s="3"/>
    </row>
    <row r="17" spans="1:20" ht="18.600000000000001" customHeight="1" x14ac:dyDescent="0.25">
      <c r="A17" s="8">
        <v>3</v>
      </c>
      <c r="B17" s="126" t="s">
        <v>146</v>
      </c>
      <c r="C17" s="20">
        <f>L17/100*100</f>
        <v>890</v>
      </c>
      <c r="D17" s="100">
        <f>C17/100*900</f>
        <v>8010</v>
      </c>
      <c r="E17" s="22"/>
      <c r="F17" s="22"/>
      <c r="G17" s="99"/>
      <c r="H17" s="22">
        <f>C17/100*100</f>
        <v>890</v>
      </c>
      <c r="I17" s="22"/>
      <c r="J17" s="22"/>
      <c r="K17" s="22"/>
      <c r="L17" s="116">
        <v>890</v>
      </c>
      <c r="M17" s="61">
        <v>63.5</v>
      </c>
      <c r="N17" s="20">
        <f t="shared" ref="N17:N25" si="0">L17*M17</f>
        <v>56515</v>
      </c>
      <c r="O17" s="160"/>
    </row>
    <row r="18" spans="1:20" ht="18.600000000000001" customHeight="1" x14ac:dyDescent="0.25">
      <c r="A18" s="8">
        <v>4</v>
      </c>
      <c r="B18" s="4" t="s">
        <v>1</v>
      </c>
      <c r="C18" s="20">
        <f>L18/100*100</f>
        <v>18620</v>
      </c>
      <c r="D18" s="100">
        <f>C18/100*344</f>
        <v>64052.799999999996</v>
      </c>
      <c r="E18" s="22"/>
      <c r="F18" s="99">
        <f>C18/100*7.9</f>
        <v>1470.98</v>
      </c>
      <c r="G18" s="22"/>
      <c r="H18" s="22">
        <f>C18/100*1</f>
        <v>186.2</v>
      </c>
      <c r="I18" s="110">
        <f>C18/100*73.1</f>
        <v>13611.219999999998</v>
      </c>
      <c r="J18" s="66">
        <f>C18/100*30</f>
        <v>5586</v>
      </c>
      <c r="K18" s="24">
        <f>C18/100*0.1</f>
        <v>18.62</v>
      </c>
      <c r="L18" s="182">
        <v>18620</v>
      </c>
      <c r="M18" s="61">
        <v>18</v>
      </c>
      <c r="N18" s="104">
        <f t="shared" si="0"/>
        <v>335160</v>
      </c>
      <c r="O18" s="3"/>
    </row>
    <row r="19" spans="1:20" ht="18.600000000000001" customHeight="1" x14ac:dyDescent="0.25">
      <c r="A19" s="8">
        <v>5</v>
      </c>
      <c r="B19" s="4" t="s">
        <v>96</v>
      </c>
      <c r="C19" s="20">
        <f>L19/100*90</f>
        <v>3888.0000000000005</v>
      </c>
      <c r="D19" s="21">
        <f>C19/100*90</f>
        <v>3499.2000000000003</v>
      </c>
      <c r="E19" s="22">
        <f>C19/100*18.4</f>
        <v>715.39199999999994</v>
      </c>
      <c r="F19" s="22"/>
      <c r="G19" s="22">
        <f>C19/100*1.8</f>
        <v>69.984000000000009</v>
      </c>
      <c r="H19" s="22"/>
      <c r="I19" s="22"/>
      <c r="J19" s="66">
        <f>C19/100*1120</f>
        <v>43545.600000000006</v>
      </c>
      <c r="K19" s="24">
        <f>C19/100*0.02</f>
        <v>0.77760000000000007</v>
      </c>
      <c r="L19" s="116">
        <v>4320</v>
      </c>
      <c r="M19" s="61">
        <v>250</v>
      </c>
      <c r="N19" s="145">
        <f t="shared" si="0"/>
        <v>1080000</v>
      </c>
      <c r="O19" s="3"/>
      <c r="Q19" s="2"/>
      <c r="R19" s="2"/>
      <c r="S19" s="3"/>
    </row>
    <row r="20" spans="1:20" ht="18.600000000000001" customHeight="1" x14ac:dyDescent="0.25">
      <c r="A20" s="8">
        <v>6</v>
      </c>
      <c r="B20" s="9" t="s">
        <v>71</v>
      </c>
      <c r="C20" s="20">
        <f>L20/100*98</f>
        <v>7506.7999999999993</v>
      </c>
      <c r="D20" s="100">
        <f>C20/100*139</f>
        <v>10434.451999999999</v>
      </c>
      <c r="E20" s="99">
        <f>C20/100*19</f>
        <v>1426.2919999999999</v>
      </c>
      <c r="F20" s="22"/>
      <c r="G20" s="22">
        <f>C20/100*7</f>
        <v>525.476</v>
      </c>
      <c r="H20" s="22"/>
      <c r="I20" s="22"/>
      <c r="J20" s="24">
        <f>C20/100*7</f>
        <v>525.476</v>
      </c>
      <c r="K20" s="24">
        <f>C20/100*0.9</f>
        <v>67.561199999999999</v>
      </c>
      <c r="L20" s="116">
        <v>7660</v>
      </c>
      <c r="M20" s="121">
        <v>130</v>
      </c>
      <c r="N20" s="104">
        <f t="shared" si="0"/>
        <v>995800</v>
      </c>
      <c r="O20" s="3"/>
    </row>
    <row r="21" spans="1:20" s="119" customFormat="1" ht="18.600000000000001" customHeight="1" x14ac:dyDescent="0.25">
      <c r="A21" s="140">
        <v>7</v>
      </c>
      <c r="B21" s="127" t="s">
        <v>180</v>
      </c>
      <c r="C21" s="114">
        <f>L21/100*78</f>
        <v>3057.6000000000004</v>
      </c>
      <c r="D21" s="117">
        <f>C21/100*37</f>
        <v>1131.3120000000001</v>
      </c>
      <c r="E21" s="115"/>
      <c r="F21" s="115">
        <f>C21/100*2.8</f>
        <v>85.612800000000007</v>
      </c>
      <c r="G21" s="115"/>
      <c r="H21" s="115">
        <f>C21/100*0.1</f>
        <v>3.0576000000000008</v>
      </c>
      <c r="I21" s="115">
        <f>C21/100*6.2</f>
        <v>189.57120000000003</v>
      </c>
      <c r="J21" s="118">
        <f>C21/100*46</f>
        <v>1406.4960000000001</v>
      </c>
      <c r="K21" s="115">
        <f>C21/100*0.02</f>
        <v>0.61152000000000006</v>
      </c>
      <c r="L21" s="116">
        <v>3920</v>
      </c>
      <c r="M21" s="141">
        <v>24</v>
      </c>
      <c r="N21" s="114">
        <f t="shared" si="0"/>
        <v>94080</v>
      </c>
      <c r="O21" s="164"/>
    </row>
    <row r="22" spans="1:20" ht="18.600000000000001" customHeight="1" x14ac:dyDescent="0.25">
      <c r="A22" s="8">
        <v>8</v>
      </c>
      <c r="B22" s="4" t="s">
        <v>20</v>
      </c>
      <c r="C22" s="20">
        <f>L22/100*95</f>
        <v>1491.5</v>
      </c>
      <c r="D22" s="21">
        <f>C22/100*20</f>
        <v>298.29999999999995</v>
      </c>
      <c r="E22" s="22"/>
      <c r="F22" s="22">
        <f>C22/100*0.6</f>
        <v>8.9489999999999998</v>
      </c>
      <c r="G22" s="22"/>
      <c r="H22" s="22">
        <f>C22/100*0.2</f>
        <v>2.9830000000000001</v>
      </c>
      <c r="I22" s="22">
        <f>C22/100*4</f>
        <v>59.66</v>
      </c>
      <c r="J22" s="24">
        <f>C22/100*12</f>
        <v>178.98</v>
      </c>
      <c r="K22" s="21">
        <f>C22/100*0.04</f>
        <v>0.59660000000000002</v>
      </c>
      <c r="L22" s="116">
        <v>1570</v>
      </c>
      <c r="M22" s="63">
        <v>40</v>
      </c>
      <c r="N22" s="20">
        <f t="shared" si="0"/>
        <v>62800</v>
      </c>
      <c r="O22" s="15"/>
      <c r="Q22" s="2"/>
      <c r="R22" s="2"/>
      <c r="S22" s="3"/>
    </row>
    <row r="23" spans="1:20" ht="18.600000000000001" customHeight="1" x14ac:dyDescent="0.25">
      <c r="A23" s="8">
        <v>9</v>
      </c>
      <c r="B23" s="4" t="s">
        <v>155</v>
      </c>
      <c r="C23" s="20">
        <f>L23/100*81</f>
        <v>1749.6000000000001</v>
      </c>
      <c r="D23" s="21">
        <f>C23/100*17</f>
        <v>297.43200000000002</v>
      </c>
      <c r="E23" s="25"/>
      <c r="F23" s="25">
        <f>C23/100*0.9</f>
        <v>15.746400000000003</v>
      </c>
      <c r="G23" s="25"/>
      <c r="H23" s="25">
        <f>C23/100*0.2</f>
        <v>3.4992000000000005</v>
      </c>
      <c r="I23" s="25">
        <f>C23/100*2.8</f>
        <v>48.988800000000005</v>
      </c>
      <c r="J23" s="22">
        <f>C23/100*28</f>
        <v>489.88800000000003</v>
      </c>
      <c r="K23" s="24">
        <f>C23/100*0.04</f>
        <v>0.69984000000000013</v>
      </c>
      <c r="L23" s="161">
        <v>2160</v>
      </c>
      <c r="M23" s="61">
        <v>20</v>
      </c>
      <c r="N23" s="20">
        <f t="shared" si="0"/>
        <v>43200</v>
      </c>
      <c r="O23" s="3"/>
      <c r="P23" s="2"/>
    </row>
    <row r="24" spans="1:20" s="119" customFormat="1" ht="16.149999999999999" customHeight="1" x14ac:dyDescent="0.25">
      <c r="A24" s="140">
        <v>10</v>
      </c>
      <c r="B24" s="127" t="s">
        <v>192</v>
      </c>
      <c r="C24" s="114">
        <f>L24/100*65</f>
        <v>4472</v>
      </c>
      <c r="D24" s="117">
        <f>C24/100*14</f>
        <v>626.07999999999993</v>
      </c>
      <c r="E24" s="115"/>
      <c r="F24" s="115">
        <f>C24/100*1.6</f>
        <v>71.552000000000007</v>
      </c>
      <c r="G24" s="115"/>
      <c r="H24" s="115"/>
      <c r="I24" s="115">
        <f>C24/100*1.9</f>
        <v>84.967999999999989</v>
      </c>
      <c r="J24" s="118">
        <f>C24/100*63</f>
        <v>2817.36</v>
      </c>
      <c r="K24" s="115">
        <f>C24/100*0.01</f>
        <v>0.44719999999999999</v>
      </c>
      <c r="L24" s="116">
        <v>6880</v>
      </c>
      <c r="M24" s="141">
        <v>18</v>
      </c>
      <c r="N24" s="147">
        <f t="shared" si="0"/>
        <v>123840</v>
      </c>
      <c r="O24" s="164"/>
    </row>
    <row r="25" spans="1:20" ht="18.600000000000001" customHeight="1" x14ac:dyDescent="0.25">
      <c r="A25" s="8">
        <v>11</v>
      </c>
      <c r="B25" s="4" t="s">
        <v>136</v>
      </c>
      <c r="C25" s="20">
        <f>L25/100*100</f>
        <v>200</v>
      </c>
      <c r="D25" s="21">
        <f>C25/100*247</f>
        <v>494</v>
      </c>
      <c r="E25" s="25"/>
      <c r="F25" s="25">
        <f>C25/100*17.5</f>
        <v>35</v>
      </c>
      <c r="G25" s="25"/>
      <c r="H25" s="25">
        <f>C25/100*1.6</f>
        <v>3.2</v>
      </c>
      <c r="I25" s="25">
        <f>C25/100*39.2</f>
        <v>78.400000000000006</v>
      </c>
      <c r="J25" s="60"/>
      <c r="K25" s="60"/>
      <c r="L25" s="161">
        <v>200</v>
      </c>
      <c r="M25" s="61">
        <v>50</v>
      </c>
      <c r="N25" s="20">
        <f t="shared" si="0"/>
        <v>10000</v>
      </c>
      <c r="O25" s="3"/>
      <c r="Q25" s="2"/>
      <c r="R25" s="2"/>
      <c r="S25" s="3"/>
      <c r="T25" s="2"/>
    </row>
    <row r="26" spans="1:20" ht="18.600000000000001" customHeight="1" x14ac:dyDescent="0.25">
      <c r="A26" s="8">
        <v>12</v>
      </c>
      <c r="B26" s="5" t="s">
        <v>123</v>
      </c>
      <c r="C26" s="20"/>
      <c r="D26" s="21"/>
      <c r="E26" s="25"/>
      <c r="F26" s="25"/>
      <c r="G26" s="25"/>
      <c r="H26" s="25"/>
      <c r="I26" s="25"/>
      <c r="J26" s="60"/>
      <c r="K26" s="60"/>
      <c r="L26" s="26"/>
      <c r="M26" s="23"/>
      <c r="N26" s="20">
        <v>15000</v>
      </c>
      <c r="O26" s="3"/>
    </row>
    <row r="27" spans="1:20" ht="18.600000000000001" customHeight="1" x14ac:dyDescent="0.25">
      <c r="A27" s="18" t="s">
        <v>121</v>
      </c>
      <c r="B27" s="19"/>
      <c r="C27" s="29"/>
      <c r="D27" s="101">
        <f>SUM(D16:D26)</f>
        <v>88999.576000000001</v>
      </c>
      <c r="E27" s="31"/>
      <c r="F27" s="31"/>
      <c r="G27" s="31"/>
      <c r="H27" s="31"/>
      <c r="I27" s="31"/>
      <c r="J27" s="31"/>
      <c r="K27" s="31"/>
      <c r="L27" s="32"/>
      <c r="M27" s="401"/>
      <c r="N27" s="540">
        <f>SUM(N16:N26)</f>
        <v>2821595</v>
      </c>
      <c r="O27" s="3"/>
    </row>
    <row r="28" spans="1:20" ht="18.600000000000001" customHeight="1" x14ac:dyDescent="0.25">
      <c r="A28" s="18" t="s">
        <v>6</v>
      </c>
      <c r="B28" s="19"/>
      <c r="C28" s="29"/>
      <c r="D28" s="30">
        <f>D27/D10</f>
        <v>454.07946938775513</v>
      </c>
      <c r="E28" s="31"/>
      <c r="F28" s="31"/>
      <c r="G28" s="31"/>
      <c r="H28" s="31"/>
      <c r="I28" s="31"/>
      <c r="J28" s="31"/>
      <c r="K28" s="31"/>
      <c r="L28" s="32"/>
      <c r="M28" s="402"/>
      <c r="N28" s="541"/>
      <c r="O28" s="3"/>
    </row>
    <row r="29" spans="1:20" ht="18.600000000000001" customHeight="1" x14ac:dyDescent="0.25">
      <c r="A29" s="380" t="s">
        <v>51</v>
      </c>
      <c r="B29" s="542"/>
      <c r="C29" s="173" t="s">
        <v>151</v>
      </c>
      <c r="D29" s="17" t="s">
        <v>45</v>
      </c>
      <c r="E29" s="31"/>
      <c r="F29" s="31"/>
      <c r="G29" s="31"/>
      <c r="H29" s="31"/>
      <c r="I29" s="31"/>
      <c r="J29" s="31"/>
      <c r="K29" s="31"/>
      <c r="L29" s="32"/>
      <c r="M29" s="32"/>
      <c r="N29" s="33"/>
      <c r="O29" s="3"/>
    </row>
    <row r="30" spans="1:20" ht="18.600000000000001" customHeight="1" x14ac:dyDescent="0.25">
      <c r="A30" s="543"/>
      <c r="B30" s="544"/>
      <c r="C30" s="62" t="s">
        <v>60</v>
      </c>
      <c r="D30" s="17">
        <f>D28*100/1320</f>
        <v>34.399959802102657</v>
      </c>
      <c r="E30" s="31"/>
      <c r="F30" s="31"/>
      <c r="G30" s="31"/>
      <c r="H30" s="31"/>
      <c r="I30" s="31"/>
      <c r="J30" s="31"/>
      <c r="K30" s="31"/>
      <c r="L30" s="32"/>
      <c r="M30" s="32"/>
      <c r="N30" s="33"/>
      <c r="O30" s="3"/>
    </row>
    <row r="31" spans="1:20" ht="18.600000000000001" customHeight="1" x14ac:dyDescent="0.3">
      <c r="A31" s="316" t="s">
        <v>35</v>
      </c>
      <c r="B31" s="316"/>
      <c r="C31" s="47"/>
      <c r="D31" s="48"/>
      <c r="E31" s="49"/>
      <c r="F31" s="49"/>
      <c r="G31" s="49"/>
      <c r="H31" s="49"/>
      <c r="I31" s="49"/>
      <c r="J31" s="49"/>
      <c r="K31" s="49"/>
      <c r="L31" s="50"/>
      <c r="M31" s="50"/>
      <c r="N31" s="58"/>
      <c r="O31" s="3"/>
    </row>
    <row r="32" spans="1:20" ht="18.600000000000001" customHeight="1" x14ac:dyDescent="0.25">
      <c r="A32" s="12">
        <v>1</v>
      </c>
      <c r="B32" s="135" t="s">
        <v>123</v>
      </c>
      <c r="C32" s="136"/>
      <c r="D32" s="137"/>
      <c r="E32" s="138"/>
      <c r="F32" s="138"/>
      <c r="G32" s="138"/>
      <c r="H32" s="138"/>
      <c r="I32" s="138"/>
      <c r="J32" s="138"/>
      <c r="K32" s="138"/>
      <c r="L32" s="139"/>
      <c r="M32" s="139"/>
      <c r="N32" s="136">
        <v>12800</v>
      </c>
      <c r="O32" s="3"/>
    </row>
    <row r="33" spans="1:20" ht="18.600000000000001" customHeight="1" x14ac:dyDescent="0.25">
      <c r="A33" s="8">
        <v>2</v>
      </c>
      <c r="B33" s="9" t="s">
        <v>2</v>
      </c>
      <c r="C33" s="20">
        <f>L33/100*100</f>
        <v>240</v>
      </c>
      <c r="D33" s="21">
        <f>C33/100*60</f>
        <v>144</v>
      </c>
      <c r="E33" s="22">
        <f>C33/100*15</f>
        <v>36</v>
      </c>
      <c r="F33" s="22"/>
      <c r="G33" s="22"/>
      <c r="H33" s="22"/>
      <c r="I33" s="22"/>
      <c r="J33" s="24">
        <f>C33/100*387</f>
        <v>928.8</v>
      </c>
      <c r="K33" s="24">
        <f>C33/100*0.09</f>
        <v>0.216</v>
      </c>
      <c r="L33" s="116">
        <v>240</v>
      </c>
      <c r="M33" s="61">
        <v>20</v>
      </c>
      <c r="N33" s="20">
        <f>L33*M33</f>
        <v>4800</v>
      </c>
      <c r="O33" s="3"/>
    </row>
    <row r="34" spans="1:20" ht="18.600000000000001" customHeight="1" x14ac:dyDescent="0.25">
      <c r="A34" s="8">
        <v>3</v>
      </c>
      <c r="B34" s="4" t="s">
        <v>1</v>
      </c>
      <c r="C34" s="20">
        <f>L34/100*100</f>
        <v>2940</v>
      </c>
      <c r="D34" s="100">
        <f>C34/100*344</f>
        <v>10113.6</v>
      </c>
      <c r="E34" s="22"/>
      <c r="F34" s="22">
        <f>C34/100*7.9</f>
        <v>232.26</v>
      </c>
      <c r="G34" s="22"/>
      <c r="H34" s="22">
        <f>C34/100*1</f>
        <v>29.4</v>
      </c>
      <c r="I34" s="99">
        <f>C34/100*73.1</f>
        <v>2149.14</v>
      </c>
      <c r="J34" s="24">
        <f>C34/100*30</f>
        <v>882</v>
      </c>
      <c r="K34" s="24">
        <f>C34/100*0.1</f>
        <v>2.94</v>
      </c>
      <c r="L34" s="116">
        <v>2940</v>
      </c>
      <c r="M34" s="61">
        <v>18</v>
      </c>
      <c r="N34" s="20">
        <f t="shared" ref="N34:N44" si="1">L34*M34</f>
        <v>52920</v>
      </c>
      <c r="O34" s="3"/>
    </row>
    <row r="35" spans="1:20" ht="18.600000000000001" customHeight="1" x14ac:dyDescent="0.25">
      <c r="A35" s="8">
        <v>4</v>
      </c>
      <c r="B35" s="4" t="s">
        <v>73</v>
      </c>
      <c r="C35" s="20">
        <f>L35/100*100</f>
        <v>1960.0000000000002</v>
      </c>
      <c r="D35" s="21">
        <f>C35/100*344</f>
        <v>6742.4000000000005</v>
      </c>
      <c r="E35" s="22"/>
      <c r="F35" s="22">
        <f>C35/100*8.6</f>
        <v>168.56</v>
      </c>
      <c r="G35" s="22"/>
      <c r="H35" s="22">
        <f>C35/100*1.5</f>
        <v>29.400000000000002</v>
      </c>
      <c r="I35" s="99">
        <f>C35/100*74.5</f>
        <v>1460.2</v>
      </c>
      <c r="J35" s="22">
        <f>C35/100*32</f>
        <v>627.20000000000005</v>
      </c>
      <c r="K35" s="22">
        <f>C35/100*0.14</f>
        <v>2.7440000000000007</v>
      </c>
      <c r="L35" s="116">
        <v>1960</v>
      </c>
      <c r="M35" s="61">
        <v>30</v>
      </c>
      <c r="N35" s="20">
        <f t="shared" si="1"/>
        <v>58800</v>
      </c>
      <c r="O35" s="3"/>
      <c r="P35" s="15"/>
    </row>
    <row r="36" spans="1:20" ht="18.600000000000001" customHeight="1" x14ac:dyDescent="0.25">
      <c r="A36" s="8">
        <v>5</v>
      </c>
      <c r="B36" s="124" t="s">
        <v>141</v>
      </c>
      <c r="C36" s="20">
        <f>L36/100*100</f>
        <v>1180</v>
      </c>
      <c r="D36" s="100">
        <f>C36/100*899</f>
        <v>10608.2</v>
      </c>
      <c r="E36" s="22"/>
      <c r="F36" s="22"/>
      <c r="G36" s="99">
        <f>C36/100*100</f>
        <v>1180</v>
      </c>
      <c r="H36" s="22"/>
      <c r="I36" s="22"/>
      <c r="J36" s="24"/>
      <c r="K36" s="24"/>
      <c r="L36" s="116">
        <v>1180</v>
      </c>
      <c r="M36" s="61">
        <v>68</v>
      </c>
      <c r="N36" s="20">
        <f t="shared" si="1"/>
        <v>80240</v>
      </c>
      <c r="O36" s="3"/>
    </row>
    <row r="37" spans="1:20" ht="18.600000000000001" customHeight="1" x14ac:dyDescent="0.25">
      <c r="A37" s="8">
        <v>6</v>
      </c>
      <c r="B37" s="4" t="s">
        <v>136</v>
      </c>
      <c r="C37" s="20">
        <f>L37/100*100</f>
        <v>120</v>
      </c>
      <c r="D37" s="21">
        <f>C37/100*247</f>
        <v>296.39999999999998</v>
      </c>
      <c r="E37" s="25"/>
      <c r="F37" s="25">
        <f>C37/100*17.5</f>
        <v>21</v>
      </c>
      <c r="G37" s="25"/>
      <c r="H37" s="25">
        <f>C37/100*1.6</f>
        <v>1.92</v>
      </c>
      <c r="I37" s="25">
        <f>C37/100*39.2</f>
        <v>47.04</v>
      </c>
      <c r="J37" s="60"/>
      <c r="K37" s="60"/>
      <c r="L37" s="161">
        <v>120</v>
      </c>
      <c r="M37" s="61">
        <v>50</v>
      </c>
      <c r="N37" s="20">
        <f t="shared" si="1"/>
        <v>6000</v>
      </c>
      <c r="O37" s="3"/>
      <c r="Q37" s="2"/>
      <c r="R37" s="2"/>
      <c r="S37" s="3"/>
      <c r="T37" s="2"/>
    </row>
    <row r="38" spans="1:20" ht="18.600000000000001" customHeight="1" x14ac:dyDescent="0.25">
      <c r="A38" s="8">
        <v>7</v>
      </c>
      <c r="B38" s="9" t="s">
        <v>70</v>
      </c>
      <c r="C38" s="20">
        <f>L38/100*90</f>
        <v>54</v>
      </c>
      <c r="D38" s="21">
        <f>C38/100*253</f>
        <v>136.62</v>
      </c>
      <c r="E38" s="22"/>
      <c r="F38" s="22">
        <f>C38/100*32.4</f>
        <v>17.495999999999999</v>
      </c>
      <c r="G38" s="22"/>
      <c r="H38" s="22">
        <f>C38/100*3.6</f>
        <v>1.9440000000000002</v>
      </c>
      <c r="I38" s="22">
        <f>C38/100*21.1</f>
        <v>11.394000000000002</v>
      </c>
      <c r="J38" s="24">
        <f>C38/100*165.6</f>
        <v>89.424000000000007</v>
      </c>
      <c r="K38" s="24">
        <f>C38/100*0.14</f>
        <v>7.5600000000000014E-2</v>
      </c>
      <c r="L38" s="116">
        <v>60</v>
      </c>
      <c r="M38" s="61">
        <v>275</v>
      </c>
      <c r="N38" s="20">
        <f t="shared" si="1"/>
        <v>16500</v>
      </c>
      <c r="O38" s="3"/>
    </row>
    <row r="39" spans="1:20" ht="18.600000000000001" customHeight="1" x14ac:dyDescent="0.25">
      <c r="A39" s="8">
        <v>8</v>
      </c>
      <c r="B39" s="4" t="s">
        <v>138</v>
      </c>
      <c r="C39" s="20">
        <f>L39/100*100</f>
        <v>780</v>
      </c>
      <c r="D39" s="21">
        <f>C39/100*340</f>
        <v>2652</v>
      </c>
      <c r="E39" s="25"/>
      <c r="F39" s="25">
        <f>C39/100*0.7</f>
        <v>5.46</v>
      </c>
      <c r="G39" s="25"/>
      <c r="H39" s="25"/>
      <c r="I39" s="25">
        <f>C39/100*84.3</f>
        <v>657.54</v>
      </c>
      <c r="J39" s="60"/>
      <c r="K39" s="60"/>
      <c r="L39" s="161">
        <v>780</v>
      </c>
      <c r="M39" s="61">
        <v>180</v>
      </c>
      <c r="N39" s="104">
        <f t="shared" si="1"/>
        <v>140400</v>
      </c>
      <c r="O39" s="3"/>
      <c r="Q39" s="2"/>
      <c r="R39" s="2"/>
      <c r="S39" s="3"/>
      <c r="T39" s="2"/>
    </row>
    <row r="40" spans="1:20" ht="18.600000000000001" customHeight="1" x14ac:dyDescent="0.25">
      <c r="A40" s="8">
        <v>9</v>
      </c>
      <c r="B40" s="4" t="s">
        <v>93</v>
      </c>
      <c r="C40" s="20">
        <f>L40/100*81.7</f>
        <v>3202.6400000000003</v>
      </c>
      <c r="D40" s="21">
        <f>C40/100*27</f>
        <v>864.71280000000002</v>
      </c>
      <c r="E40" s="25"/>
      <c r="F40" s="25">
        <f>C40/100*0.3</f>
        <v>9.60792</v>
      </c>
      <c r="G40" s="25"/>
      <c r="H40" s="25">
        <f>C40/100*0.1</f>
        <v>3.2026400000000006</v>
      </c>
      <c r="I40" s="25">
        <f>C40/100*6.1</f>
        <v>195.36104</v>
      </c>
      <c r="J40" s="60">
        <f>C40/100*24</f>
        <v>768.63360000000011</v>
      </c>
      <c r="K40" s="60">
        <f>C40/100*0.06</f>
        <v>1.9215840000000002</v>
      </c>
      <c r="L40" s="161">
        <v>3920</v>
      </c>
      <c r="M40" s="23">
        <v>22</v>
      </c>
      <c r="N40" s="20">
        <f t="shared" si="1"/>
        <v>86240</v>
      </c>
      <c r="O40" s="3"/>
      <c r="Q40" s="2"/>
      <c r="R40" s="2"/>
      <c r="S40" s="3"/>
    </row>
    <row r="41" spans="1:20" ht="18.600000000000001" customHeight="1" x14ac:dyDescent="0.25">
      <c r="A41" s="8">
        <v>10</v>
      </c>
      <c r="B41" s="9" t="s">
        <v>170</v>
      </c>
      <c r="C41" s="20">
        <f>L41/100*55</f>
        <v>1633.5</v>
      </c>
      <c r="D41" s="100">
        <f>C41/100*196</f>
        <v>3201.6600000000003</v>
      </c>
      <c r="E41" s="22"/>
      <c r="F41" s="115">
        <f>C41/100*4.1</f>
        <v>66.973500000000001</v>
      </c>
      <c r="G41" s="22"/>
      <c r="H41" s="22">
        <f>C41/100*2.3</f>
        <v>37.570499999999996</v>
      </c>
      <c r="I41" s="22">
        <f>C41/100*39.6</f>
        <v>646.8660000000001</v>
      </c>
      <c r="J41" s="24">
        <f>C41/100*4</f>
        <v>65.34</v>
      </c>
      <c r="K41" s="24">
        <f>C41/100*0.15</f>
        <v>2.45025</v>
      </c>
      <c r="L41" s="182">
        <v>2970</v>
      </c>
      <c r="M41" s="61">
        <v>22</v>
      </c>
      <c r="N41" s="20">
        <f t="shared" si="1"/>
        <v>65340</v>
      </c>
      <c r="O41" s="164"/>
      <c r="P41" s="119"/>
      <c r="Q41" s="119"/>
    </row>
    <row r="42" spans="1:20" ht="18.600000000000001" customHeight="1" x14ac:dyDescent="0.25">
      <c r="A42" s="8">
        <v>11</v>
      </c>
      <c r="B42" s="4" t="s">
        <v>69</v>
      </c>
      <c r="C42" s="20">
        <f>L42/100*48</f>
        <v>3576</v>
      </c>
      <c r="D42" s="21">
        <f>C42/100*199</f>
        <v>7116.24</v>
      </c>
      <c r="E42" s="22">
        <f>C42/100*20.3</f>
        <v>725.928</v>
      </c>
      <c r="F42" s="22"/>
      <c r="G42" s="22">
        <f>C42/100*13.1</f>
        <v>468.45599999999996</v>
      </c>
      <c r="H42" s="22"/>
      <c r="I42" s="22"/>
      <c r="J42" s="24">
        <f>C42/100*12</f>
        <v>429.12</v>
      </c>
      <c r="K42" s="24">
        <f>C42/100*0.15</f>
        <v>5.3639999999999999</v>
      </c>
      <c r="L42" s="23">
        <v>7450</v>
      </c>
      <c r="M42" s="116">
        <v>84</v>
      </c>
      <c r="N42" s="104">
        <f t="shared" si="1"/>
        <v>625800</v>
      </c>
      <c r="O42" s="3"/>
      <c r="Q42" s="2"/>
      <c r="R42" s="2"/>
      <c r="S42" s="3"/>
    </row>
    <row r="43" spans="1:20" ht="18.600000000000001" customHeight="1" x14ac:dyDescent="0.25">
      <c r="A43" s="8">
        <v>12</v>
      </c>
      <c r="B43" s="9" t="s">
        <v>64</v>
      </c>
      <c r="C43" s="20">
        <f>L43/100*40</f>
        <v>2128</v>
      </c>
      <c r="D43" s="21">
        <f>C43/100*276</f>
        <v>5873.2800000000007</v>
      </c>
      <c r="E43" s="22">
        <f>C43/100*17.8</f>
        <v>378.78400000000005</v>
      </c>
      <c r="F43" s="22"/>
      <c r="G43" s="22">
        <f>C43/100*21.8</f>
        <v>463.90400000000005</v>
      </c>
      <c r="H43" s="22"/>
      <c r="I43" s="22"/>
      <c r="J43" s="24">
        <f>C43/100*13</f>
        <v>276.64</v>
      </c>
      <c r="K43" s="24">
        <f>C43/100*0.07</f>
        <v>1.4896000000000003</v>
      </c>
      <c r="L43" s="116">
        <v>5320</v>
      </c>
      <c r="M43" s="61">
        <v>63</v>
      </c>
      <c r="N43" s="104">
        <f t="shared" si="1"/>
        <v>335160</v>
      </c>
      <c r="O43" s="3"/>
    </row>
    <row r="44" spans="1:20" ht="18.600000000000001" customHeight="1" x14ac:dyDescent="0.25">
      <c r="A44" s="86">
        <v>13</v>
      </c>
      <c r="B44" s="93" t="s">
        <v>171</v>
      </c>
      <c r="C44" s="87">
        <f>L44/100*85</f>
        <v>170</v>
      </c>
      <c r="D44" s="88">
        <f>C44/100*11</f>
        <v>18.7</v>
      </c>
      <c r="E44" s="89"/>
      <c r="F44" s="89">
        <f>C44/100*2.2</f>
        <v>3.74</v>
      </c>
      <c r="G44" s="89"/>
      <c r="H44" s="89"/>
      <c r="I44" s="89">
        <f>C44/100*0.6</f>
        <v>1.02</v>
      </c>
      <c r="J44" s="94"/>
      <c r="K44" s="94"/>
      <c r="L44" s="254">
        <v>200</v>
      </c>
      <c r="M44" s="123">
        <v>30</v>
      </c>
      <c r="N44" s="87">
        <f t="shared" si="1"/>
        <v>6000</v>
      </c>
      <c r="O44" s="3"/>
      <c r="Q44" s="2"/>
      <c r="R44" s="2"/>
    </row>
    <row r="45" spans="1:20" ht="22.9" customHeight="1" x14ac:dyDescent="0.25">
      <c r="A45" s="293" t="s">
        <v>0</v>
      </c>
      <c r="B45" s="296" t="s">
        <v>19</v>
      </c>
      <c r="C45" s="296" t="s">
        <v>8</v>
      </c>
      <c r="D45" s="296" t="s">
        <v>9</v>
      </c>
      <c r="E45" s="299" t="s">
        <v>11</v>
      </c>
      <c r="F45" s="300"/>
      <c r="G45" s="299" t="s">
        <v>13</v>
      </c>
      <c r="H45" s="300"/>
      <c r="I45" s="293" t="s">
        <v>16</v>
      </c>
      <c r="J45" s="293" t="s">
        <v>41</v>
      </c>
      <c r="K45" s="293" t="s">
        <v>42</v>
      </c>
      <c r="L45" s="528" t="s">
        <v>17</v>
      </c>
      <c r="M45" s="293" t="s">
        <v>57</v>
      </c>
      <c r="N45" s="293" t="s">
        <v>18</v>
      </c>
      <c r="O45" s="158"/>
    </row>
    <row r="46" spans="1:20" ht="22.9" customHeight="1" x14ac:dyDescent="0.25">
      <c r="A46" s="294"/>
      <c r="B46" s="297"/>
      <c r="C46" s="297"/>
      <c r="D46" s="297"/>
      <c r="E46" s="301"/>
      <c r="F46" s="302"/>
      <c r="G46" s="301"/>
      <c r="H46" s="302"/>
      <c r="I46" s="303"/>
      <c r="J46" s="303"/>
      <c r="K46" s="303"/>
      <c r="L46" s="529"/>
      <c r="M46" s="303"/>
      <c r="N46" s="294"/>
      <c r="O46" s="149"/>
    </row>
    <row r="47" spans="1:20" ht="22.9" customHeight="1" x14ac:dyDescent="0.25">
      <c r="A47" s="294"/>
      <c r="B47" s="297"/>
      <c r="C47" s="297"/>
      <c r="D47" s="297"/>
      <c r="E47" s="293" t="s">
        <v>10</v>
      </c>
      <c r="F47" s="293" t="s">
        <v>12</v>
      </c>
      <c r="G47" s="293" t="s">
        <v>14</v>
      </c>
      <c r="H47" s="293" t="s">
        <v>15</v>
      </c>
      <c r="I47" s="303"/>
      <c r="J47" s="303"/>
      <c r="K47" s="303"/>
      <c r="L47" s="529"/>
      <c r="M47" s="303"/>
      <c r="N47" s="294"/>
      <c r="O47" s="149"/>
    </row>
    <row r="48" spans="1:20" ht="22.9" customHeight="1" x14ac:dyDescent="0.25">
      <c r="A48" s="295"/>
      <c r="B48" s="298"/>
      <c r="C48" s="298"/>
      <c r="D48" s="298"/>
      <c r="E48" s="304"/>
      <c r="F48" s="304"/>
      <c r="G48" s="304"/>
      <c r="H48" s="304"/>
      <c r="I48" s="304"/>
      <c r="J48" s="304"/>
      <c r="K48" s="304"/>
      <c r="L48" s="530"/>
      <c r="M48" s="304"/>
      <c r="N48" s="295"/>
      <c r="O48" s="149"/>
    </row>
    <row r="49" spans="1:22" ht="19.149999999999999" customHeight="1" x14ac:dyDescent="0.25">
      <c r="A49" s="18" t="s">
        <v>106</v>
      </c>
      <c r="B49" s="19"/>
      <c r="C49" s="29"/>
      <c r="D49" s="101">
        <f>SUM(D33:D44)</f>
        <v>47767.8128</v>
      </c>
      <c r="E49" s="6"/>
      <c r="F49" s="6"/>
      <c r="G49" s="6"/>
      <c r="H49" s="6"/>
      <c r="I49" s="6"/>
      <c r="J49" s="6"/>
      <c r="K49" s="6"/>
      <c r="L49" s="37"/>
      <c r="M49" s="398"/>
      <c r="N49" s="538">
        <f>SUM(N30:N44)</f>
        <v>1491000</v>
      </c>
      <c r="O49" s="3"/>
    </row>
    <row r="50" spans="1:22" ht="19.149999999999999" customHeight="1" x14ac:dyDescent="0.25">
      <c r="A50" s="18" t="s">
        <v>7</v>
      </c>
      <c r="B50" s="19"/>
      <c r="C50" s="38"/>
      <c r="D50" s="39">
        <f>D49/D10</f>
        <v>243.7133306122449</v>
      </c>
      <c r="E50" s="39"/>
      <c r="F50" s="39"/>
      <c r="G50" s="39"/>
      <c r="H50" s="39"/>
      <c r="I50" s="39"/>
      <c r="J50" s="39"/>
      <c r="K50" s="39"/>
      <c r="L50" s="37"/>
      <c r="M50" s="399"/>
      <c r="N50" s="539"/>
      <c r="O50" s="164"/>
    </row>
    <row r="51" spans="1:22" ht="19.149999999999999" customHeight="1" x14ac:dyDescent="0.25">
      <c r="A51" s="380" t="s">
        <v>52</v>
      </c>
      <c r="B51" s="306"/>
      <c r="C51" s="173" t="s">
        <v>151</v>
      </c>
      <c r="D51" s="17" t="s">
        <v>58</v>
      </c>
      <c r="E51" s="39"/>
      <c r="F51" s="39"/>
      <c r="G51" s="39"/>
      <c r="H51" s="39"/>
      <c r="I51" s="39"/>
      <c r="J51" s="40"/>
      <c r="K51" s="40"/>
      <c r="L51" s="37"/>
      <c r="M51" s="37"/>
      <c r="N51" s="150"/>
      <c r="O51" s="3"/>
    </row>
    <row r="52" spans="1:22" ht="19.149999999999999" customHeight="1" x14ac:dyDescent="0.25">
      <c r="A52" s="307"/>
      <c r="B52" s="308"/>
      <c r="C52" s="62" t="s">
        <v>60</v>
      </c>
      <c r="D52" s="17">
        <f>D50*100/1320</f>
        <v>18.46313110698825</v>
      </c>
      <c r="E52" s="39"/>
      <c r="F52" s="39"/>
      <c r="G52" s="39"/>
      <c r="H52" s="39"/>
      <c r="I52" s="39"/>
      <c r="J52" s="40"/>
      <c r="K52" s="40"/>
      <c r="L52" s="37"/>
      <c r="M52" s="37"/>
      <c r="N52" s="150"/>
      <c r="O52" s="3"/>
    </row>
    <row r="53" spans="1:22" ht="19.149999999999999" customHeight="1" x14ac:dyDescent="0.25">
      <c r="A53" s="371" t="s">
        <v>107</v>
      </c>
      <c r="B53" s="372"/>
      <c r="C53" s="375"/>
      <c r="D53" s="390">
        <f>D27+D49</f>
        <v>136767.38880000002</v>
      </c>
      <c r="E53" s="103">
        <f t="shared" ref="E53:K53" si="2">SUM(E16:E44)</f>
        <v>3321.3959999999997</v>
      </c>
      <c r="F53" s="103">
        <f t="shared" si="2"/>
        <v>2212.9376200000002</v>
      </c>
      <c r="G53" s="103">
        <f t="shared" si="2"/>
        <v>2707.82</v>
      </c>
      <c r="H53" s="103">
        <f t="shared" si="2"/>
        <v>1192.3769400000003</v>
      </c>
      <c r="I53" s="545">
        <f t="shared" si="2"/>
        <v>19241.369040000001</v>
      </c>
      <c r="J53" s="545">
        <f t="shared" si="2"/>
        <v>59623.157600000006</v>
      </c>
      <c r="K53" s="367">
        <f t="shared" si="2"/>
        <v>106.74899399999997</v>
      </c>
      <c r="L53" s="352"/>
      <c r="M53" s="352"/>
      <c r="N53" s="548">
        <f>N27+N49</f>
        <v>4312595</v>
      </c>
    </row>
    <row r="54" spans="1:22" ht="19.149999999999999" customHeight="1" x14ac:dyDescent="0.25">
      <c r="A54" s="373"/>
      <c r="B54" s="374"/>
      <c r="C54" s="376"/>
      <c r="D54" s="391"/>
      <c r="E54" s="365">
        <f>E53+F53</f>
        <v>5534.3336199999994</v>
      </c>
      <c r="F54" s="366"/>
      <c r="G54" s="365">
        <f>G53+H53</f>
        <v>3900.1969400000007</v>
      </c>
      <c r="H54" s="366"/>
      <c r="I54" s="546"/>
      <c r="J54" s="546"/>
      <c r="K54" s="368"/>
      <c r="L54" s="352"/>
      <c r="M54" s="352"/>
      <c r="N54" s="548"/>
      <c r="P54" s="119"/>
      <c r="Q54" s="333"/>
      <c r="R54" s="333"/>
      <c r="S54" s="333"/>
      <c r="T54" s="333"/>
      <c r="U54" s="346"/>
      <c r="V54" s="346"/>
    </row>
    <row r="55" spans="1:22" ht="20.45" customHeight="1" x14ac:dyDescent="0.25">
      <c r="A55" s="353" t="s">
        <v>77</v>
      </c>
      <c r="B55" s="354"/>
      <c r="C55" s="355"/>
      <c r="D55" s="120">
        <f>D53/D10</f>
        <v>697.79280000000006</v>
      </c>
      <c r="E55" s="165">
        <f>E53/D10</f>
        <v>16.945897959183672</v>
      </c>
      <c r="F55" s="178">
        <f>F53/D10</f>
        <v>11.29049806122449</v>
      </c>
      <c r="G55" s="165">
        <f>G53/D10</f>
        <v>13.815408163265307</v>
      </c>
      <c r="H55" s="175">
        <f>H53/D10</f>
        <v>6.0835558163265322</v>
      </c>
      <c r="I55" s="533">
        <f>I53/D10</f>
        <v>98.17025020408164</v>
      </c>
      <c r="J55" s="533">
        <f>J53/D10</f>
        <v>304.19978367346943</v>
      </c>
      <c r="K55" s="347">
        <f>K53/D10</f>
        <v>0.54463772448979575</v>
      </c>
      <c r="L55" s="352"/>
      <c r="M55" s="352"/>
      <c r="N55" s="548"/>
      <c r="P55" s="167"/>
      <c r="Q55" s="333"/>
      <c r="R55" s="333"/>
      <c r="S55" s="333"/>
      <c r="T55" s="333"/>
      <c r="U55" s="333"/>
      <c r="V55" s="333"/>
    </row>
    <row r="56" spans="1:22" ht="20.45" customHeight="1" x14ac:dyDescent="0.25">
      <c r="A56" s="356"/>
      <c r="B56" s="357"/>
      <c r="C56" s="358"/>
      <c r="D56" s="107"/>
      <c r="E56" s="369">
        <f>E55+F55</f>
        <v>28.236396020408161</v>
      </c>
      <c r="F56" s="370"/>
      <c r="G56" s="369">
        <f>G55+H55</f>
        <v>19.898963979591841</v>
      </c>
      <c r="H56" s="370"/>
      <c r="I56" s="534"/>
      <c r="J56" s="534"/>
      <c r="K56" s="348"/>
      <c r="L56" s="352"/>
      <c r="M56" s="352"/>
      <c r="N56" s="548"/>
      <c r="P56" s="119"/>
      <c r="Q56" s="119"/>
      <c r="R56" s="119"/>
      <c r="S56" s="119"/>
      <c r="T56" s="119"/>
      <c r="U56" s="119"/>
      <c r="V56" s="119"/>
    </row>
    <row r="57" spans="1:22" ht="20.45" customHeight="1" x14ac:dyDescent="0.25">
      <c r="A57" s="381" t="s">
        <v>80</v>
      </c>
      <c r="B57" s="382"/>
      <c r="C57" s="383"/>
      <c r="D57" s="151" t="s">
        <v>28</v>
      </c>
      <c r="E57" s="279" t="s">
        <v>21</v>
      </c>
      <c r="F57" s="279"/>
      <c r="G57" s="279" t="s">
        <v>22</v>
      </c>
      <c r="H57" s="279"/>
      <c r="I57" s="151" t="s">
        <v>23</v>
      </c>
      <c r="J57" s="148">
        <v>600</v>
      </c>
      <c r="K57" s="148">
        <v>0.7</v>
      </c>
      <c r="L57" s="352"/>
      <c r="M57" s="352"/>
      <c r="N57" s="548"/>
      <c r="O57" s="169"/>
      <c r="P57" s="119"/>
      <c r="Q57" s="119"/>
      <c r="R57" s="119"/>
      <c r="S57" s="119"/>
      <c r="T57" s="119"/>
      <c r="U57" s="119"/>
      <c r="V57" s="119"/>
    </row>
    <row r="58" spans="1:22" ht="20.45" customHeight="1" x14ac:dyDescent="0.25">
      <c r="A58" s="271" t="s">
        <v>78</v>
      </c>
      <c r="B58" s="332"/>
      <c r="C58" s="272"/>
      <c r="D58" s="41"/>
      <c r="E58" s="359">
        <f>E56*4.1</f>
        <v>115.76922368367345</v>
      </c>
      <c r="F58" s="360"/>
      <c r="G58" s="359">
        <f>G56*9</f>
        <v>179.09067581632655</v>
      </c>
      <c r="H58" s="360"/>
      <c r="I58" s="102">
        <f>I55*4.1</f>
        <v>402.49802583673471</v>
      </c>
      <c r="J58" s="337"/>
      <c r="K58" s="337"/>
      <c r="L58" s="352"/>
      <c r="M58" s="352"/>
      <c r="N58" s="548"/>
      <c r="O58" s="169"/>
      <c r="P58" s="170"/>
      <c r="Q58" s="155"/>
      <c r="R58" s="155"/>
      <c r="S58" s="155"/>
      <c r="T58" s="119"/>
      <c r="U58" s="119"/>
      <c r="V58" s="119"/>
    </row>
    <row r="59" spans="1:22" ht="20.45" customHeight="1" x14ac:dyDescent="0.25">
      <c r="A59" s="361" t="s">
        <v>81</v>
      </c>
      <c r="B59" s="362"/>
      <c r="C59" s="271" t="s">
        <v>59</v>
      </c>
      <c r="D59" s="272"/>
      <c r="E59" s="273">
        <f>E58*100/D55</f>
        <v>16.590773605527808</v>
      </c>
      <c r="F59" s="274"/>
      <c r="G59" s="273">
        <f>G58*100/D55</f>
        <v>25.665308644102737</v>
      </c>
      <c r="H59" s="274"/>
      <c r="I59" s="95">
        <f>I58*100/D55</f>
        <v>57.681596290006823</v>
      </c>
      <c r="J59" s="338"/>
      <c r="K59" s="338"/>
      <c r="L59" s="352"/>
      <c r="M59" s="352"/>
      <c r="N59" s="548"/>
      <c r="O59" s="169"/>
      <c r="P59" s="119"/>
      <c r="Q59" s="119"/>
      <c r="R59" s="119"/>
      <c r="S59" s="119"/>
      <c r="T59" s="119"/>
      <c r="U59" s="119"/>
      <c r="V59" s="119"/>
    </row>
    <row r="60" spans="1:22" ht="20.45" customHeight="1" x14ac:dyDescent="0.25">
      <c r="A60" s="363"/>
      <c r="B60" s="364"/>
      <c r="C60" s="271" t="s">
        <v>79</v>
      </c>
      <c r="D60" s="272"/>
      <c r="E60" s="271" t="s">
        <v>82</v>
      </c>
      <c r="F60" s="272"/>
      <c r="G60" s="271" t="s">
        <v>83</v>
      </c>
      <c r="H60" s="272"/>
      <c r="I60" s="151" t="s">
        <v>84</v>
      </c>
      <c r="J60" s="339"/>
      <c r="K60" s="339"/>
      <c r="L60" s="352"/>
      <c r="M60" s="352"/>
      <c r="N60" s="548"/>
      <c r="O60" s="169"/>
      <c r="P60" s="2"/>
    </row>
    <row r="61" spans="1:22" ht="20.45" customHeight="1" x14ac:dyDescent="0.25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7"/>
      <c r="M61" s="77"/>
      <c r="N61" s="78"/>
      <c r="O61" s="169"/>
    </row>
    <row r="62" spans="1:22" ht="21" customHeight="1" x14ac:dyDescent="0.25">
      <c r="A62" s="265" t="s">
        <v>114</v>
      </c>
      <c r="B62" s="265"/>
      <c r="C62" s="265"/>
      <c r="D62" s="265"/>
      <c r="E62" s="265"/>
      <c r="F62" s="265"/>
      <c r="G62" s="265"/>
      <c r="H62" s="265"/>
      <c r="I62" s="265"/>
      <c r="J62" s="265"/>
      <c r="K62" s="265"/>
      <c r="L62" s="265"/>
      <c r="M62" s="265"/>
      <c r="N62" s="265"/>
      <c r="O62" s="169"/>
    </row>
    <row r="63" spans="1:22" ht="21" customHeight="1" x14ac:dyDescent="0.25">
      <c r="A63" s="97" t="s">
        <v>115</v>
      </c>
      <c r="B63" s="266" t="s">
        <v>116</v>
      </c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6"/>
      <c r="O63" s="169"/>
    </row>
    <row r="64" spans="1:22" ht="21" customHeight="1" x14ac:dyDescent="0.25">
      <c r="A64" s="98"/>
      <c r="B64" s="267" t="s">
        <v>217</v>
      </c>
      <c r="C64" s="267"/>
      <c r="D64" s="267"/>
      <c r="E64" s="267"/>
      <c r="F64" s="267"/>
      <c r="G64" s="267"/>
      <c r="H64" s="267"/>
      <c r="I64" s="267"/>
      <c r="J64" s="267"/>
      <c r="K64" s="267"/>
      <c r="L64" s="267"/>
      <c r="M64" s="267"/>
      <c r="N64" s="267"/>
      <c r="O64" s="169"/>
    </row>
    <row r="65" spans="1:15" ht="21" customHeight="1" x14ac:dyDescent="0.25">
      <c r="A65" s="98"/>
      <c r="B65" s="267" t="s">
        <v>194</v>
      </c>
      <c r="C65" s="267"/>
      <c r="D65" s="267"/>
      <c r="E65" s="267"/>
      <c r="F65" s="267"/>
      <c r="G65" s="267"/>
      <c r="H65" s="267"/>
      <c r="I65" s="267"/>
      <c r="J65" s="267"/>
      <c r="K65" s="267"/>
      <c r="L65" s="267"/>
      <c r="M65" s="267"/>
      <c r="N65" s="267"/>
      <c r="O65" s="169"/>
    </row>
    <row r="66" spans="1:15" ht="21" customHeight="1" x14ac:dyDescent="0.25">
      <c r="A66" s="98"/>
      <c r="B66" s="267" t="s">
        <v>218</v>
      </c>
      <c r="C66" s="267"/>
      <c r="D66" s="267"/>
      <c r="E66" s="267"/>
      <c r="F66" s="267"/>
      <c r="G66" s="267"/>
      <c r="H66" s="267"/>
      <c r="I66" s="267"/>
      <c r="J66" s="267"/>
      <c r="K66" s="267"/>
      <c r="L66" s="267"/>
      <c r="M66" s="267"/>
      <c r="N66" s="267"/>
      <c r="O66" s="169"/>
    </row>
    <row r="67" spans="1:15" ht="21" customHeight="1" x14ac:dyDescent="0.25">
      <c r="A67" s="73"/>
      <c r="B67" s="268" t="s">
        <v>117</v>
      </c>
      <c r="C67" s="268"/>
      <c r="D67" s="268"/>
      <c r="E67" s="268"/>
      <c r="F67" s="268"/>
      <c r="G67" s="268"/>
      <c r="H67" s="268"/>
      <c r="I67" s="268"/>
      <c r="J67" s="268"/>
      <c r="K67" s="268"/>
      <c r="L67" s="268"/>
      <c r="M67" s="268"/>
      <c r="N67" s="268"/>
      <c r="O67" s="169"/>
    </row>
    <row r="68" spans="1:15" ht="21" customHeight="1" x14ac:dyDescent="0.2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7"/>
      <c r="M68" s="77"/>
      <c r="N68" s="78"/>
      <c r="O68" s="169"/>
    </row>
    <row r="69" spans="1:15" ht="21" customHeight="1" x14ac:dyDescent="0.25">
      <c r="A69" s="269" t="s">
        <v>62</v>
      </c>
      <c r="B69" s="269"/>
      <c r="C69" s="269"/>
      <c r="D69" s="269"/>
      <c r="E69" s="171"/>
      <c r="F69" s="171"/>
      <c r="G69" s="171"/>
      <c r="H69" s="171"/>
      <c r="I69" s="171"/>
      <c r="J69" s="270" t="s">
        <v>33</v>
      </c>
      <c r="K69" s="270"/>
      <c r="L69" s="270"/>
      <c r="M69" s="270"/>
      <c r="N69" s="270"/>
      <c r="O69" s="169"/>
    </row>
    <row r="70" spans="1:15" ht="21" customHeight="1" x14ac:dyDescent="0.25">
      <c r="A70" s="149"/>
      <c r="B70" s="149"/>
      <c r="C70" s="149"/>
      <c r="D70" s="171"/>
      <c r="E70" s="171"/>
      <c r="F70" s="171"/>
      <c r="G70" s="171"/>
      <c r="H70" s="172"/>
      <c r="I70" s="172"/>
      <c r="J70" s="172"/>
      <c r="K70" s="172"/>
      <c r="L70" s="172"/>
      <c r="M70" s="172"/>
      <c r="N70" s="172"/>
      <c r="O70" s="169"/>
    </row>
    <row r="71" spans="1:15" ht="21" customHeight="1" x14ac:dyDescent="0.25">
      <c r="A71" s="149"/>
      <c r="B71" s="149"/>
      <c r="C71" s="149"/>
      <c r="D71" s="171"/>
      <c r="E71" s="171"/>
      <c r="F71" s="171"/>
      <c r="G71" s="171"/>
      <c r="H71" s="172"/>
      <c r="I71" s="172"/>
      <c r="J71" s="172"/>
      <c r="K71" s="172"/>
      <c r="L71" s="172"/>
      <c r="M71" s="172"/>
      <c r="N71" s="172"/>
      <c r="O71" s="169"/>
    </row>
    <row r="72" spans="1:15" ht="21" customHeight="1" x14ac:dyDescent="0.25">
      <c r="A72" s="149"/>
      <c r="B72" s="149"/>
      <c r="C72" s="149"/>
      <c r="D72" s="171"/>
      <c r="E72" s="171"/>
      <c r="F72" s="171"/>
      <c r="G72" s="171"/>
      <c r="H72" s="172"/>
      <c r="I72" s="172"/>
      <c r="J72" s="261" t="s">
        <v>124</v>
      </c>
      <c r="K72" s="261"/>
      <c r="L72" s="261"/>
      <c r="M72" s="261"/>
      <c r="N72" s="261"/>
      <c r="O72" s="169"/>
    </row>
    <row r="73" spans="1:15" ht="21" customHeight="1" x14ac:dyDescent="0.25">
      <c r="A73" s="260" t="s">
        <v>91</v>
      </c>
      <c r="B73" s="260"/>
      <c r="C73" s="260"/>
      <c r="D73" s="260"/>
      <c r="E73" s="171"/>
      <c r="F73" s="171"/>
      <c r="G73" s="171"/>
      <c r="H73" s="172"/>
      <c r="I73" s="172"/>
      <c r="J73" s="261"/>
      <c r="K73" s="261"/>
      <c r="L73" s="261"/>
      <c r="M73" s="261"/>
      <c r="N73" s="261"/>
      <c r="O73" s="169"/>
    </row>
    <row r="74" spans="1:15" ht="20.45" customHeight="1" x14ac:dyDescent="0.25">
      <c r="A74" s="149"/>
      <c r="B74" s="149"/>
      <c r="C74" s="149"/>
      <c r="D74" s="171"/>
      <c r="E74" s="171"/>
      <c r="F74" s="171"/>
      <c r="G74" s="171"/>
      <c r="H74" s="172"/>
      <c r="I74" s="172"/>
      <c r="J74" s="172"/>
      <c r="K74" s="172"/>
      <c r="L74" s="172"/>
      <c r="M74" s="172"/>
      <c r="N74" s="172"/>
      <c r="O74" s="169"/>
    </row>
    <row r="75" spans="1:15" ht="20.45" customHeight="1" x14ac:dyDescent="0.25">
      <c r="A75" s="149"/>
      <c r="B75" s="149"/>
      <c r="C75" s="149"/>
      <c r="D75" s="171"/>
      <c r="E75" s="171"/>
      <c r="F75" s="171"/>
      <c r="G75" s="171"/>
      <c r="H75" s="172"/>
      <c r="I75" s="172"/>
      <c r="J75" s="261" t="s">
        <v>127</v>
      </c>
      <c r="K75" s="261"/>
      <c r="L75" s="261"/>
      <c r="M75" s="261"/>
      <c r="N75" s="261"/>
      <c r="O75" s="169"/>
    </row>
    <row r="76" spans="1:15" ht="20.45" customHeight="1" x14ac:dyDescent="0.25">
      <c r="A76" s="149"/>
      <c r="B76" s="149"/>
      <c r="C76" s="149"/>
      <c r="D76" s="171"/>
      <c r="E76" s="171"/>
      <c r="F76" s="171"/>
      <c r="G76" s="171"/>
      <c r="H76" s="172"/>
      <c r="I76" s="172"/>
      <c r="J76" s="172"/>
      <c r="K76" s="172"/>
      <c r="L76" s="172"/>
      <c r="M76" s="172"/>
      <c r="N76" s="172"/>
      <c r="O76" s="169"/>
    </row>
    <row r="77" spans="1:15" ht="20.45" customHeight="1" x14ac:dyDescent="0.25">
      <c r="A77" s="149"/>
      <c r="B77" s="149"/>
      <c r="C77" s="149"/>
      <c r="D77" s="171"/>
      <c r="E77" s="171"/>
      <c r="F77" s="171"/>
      <c r="G77" s="171"/>
      <c r="H77" s="172"/>
      <c r="I77" s="172"/>
      <c r="J77" s="172"/>
      <c r="K77" s="172"/>
      <c r="L77" s="172"/>
      <c r="M77" s="172"/>
      <c r="N77" s="172"/>
      <c r="O77" s="169"/>
    </row>
    <row r="78" spans="1:15" ht="20.45" customHeight="1" x14ac:dyDescent="0.25">
      <c r="A78" s="149"/>
      <c r="B78" s="149"/>
      <c r="C78" s="149"/>
      <c r="D78" s="171"/>
      <c r="E78" s="171"/>
      <c r="F78" s="171"/>
      <c r="G78" s="171"/>
      <c r="H78" s="172"/>
      <c r="I78" s="172"/>
      <c r="J78" s="172"/>
      <c r="K78" s="172"/>
      <c r="L78" s="172"/>
      <c r="M78" s="172"/>
      <c r="N78" s="172"/>
      <c r="O78" s="169"/>
    </row>
    <row r="79" spans="1:15" ht="20.45" customHeight="1" x14ac:dyDescent="0.25">
      <c r="A79" s="149"/>
      <c r="B79" s="149"/>
      <c r="C79" s="149"/>
      <c r="D79" s="171"/>
      <c r="E79" s="171"/>
      <c r="F79" s="171"/>
      <c r="G79" s="171"/>
      <c r="H79" s="172"/>
      <c r="I79" s="172"/>
      <c r="J79" s="172"/>
      <c r="K79" s="172"/>
      <c r="L79" s="172"/>
      <c r="M79" s="172"/>
      <c r="N79" s="172"/>
      <c r="O79" s="169"/>
    </row>
    <row r="80" spans="1:15" ht="20.45" customHeight="1" x14ac:dyDescent="0.25">
      <c r="A80" s="149"/>
      <c r="B80" s="149"/>
      <c r="C80" s="149"/>
      <c r="D80" s="171"/>
      <c r="E80" s="171"/>
      <c r="F80" s="171"/>
      <c r="G80" s="171"/>
      <c r="H80" s="172"/>
      <c r="I80" s="172"/>
      <c r="J80" s="172"/>
      <c r="K80" s="172"/>
      <c r="L80" s="172"/>
      <c r="M80" s="172"/>
      <c r="N80" s="172"/>
      <c r="O80" s="169"/>
    </row>
    <row r="81" spans="1:16" ht="20.45" customHeight="1" x14ac:dyDescent="0.25">
      <c r="A81" s="149"/>
      <c r="B81" s="149"/>
      <c r="C81" s="149"/>
      <c r="D81" s="171"/>
      <c r="E81" s="171"/>
      <c r="F81" s="171"/>
      <c r="G81" s="171"/>
      <c r="H81" s="172"/>
      <c r="I81" s="172"/>
      <c r="J81" s="172"/>
      <c r="K81" s="172"/>
      <c r="L81" s="172"/>
      <c r="M81" s="172"/>
      <c r="N81" s="172"/>
      <c r="O81" s="169"/>
    </row>
    <row r="82" spans="1:16" ht="20.45" customHeight="1" x14ac:dyDescent="0.25">
      <c r="A82" s="149"/>
      <c r="B82" s="149"/>
      <c r="C82" s="149"/>
      <c r="D82" s="171"/>
      <c r="E82" s="171"/>
      <c r="F82" s="171"/>
      <c r="G82" s="171"/>
      <c r="H82" s="172"/>
      <c r="I82" s="172"/>
      <c r="J82" s="172"/>
      <c r="K82" s="172"/>
      <c r="L82" s="172"/>
      <c r="M82" s="172"/>
      <c r="N82" s="172"/>
      <c r="O82" s="169"/>
    </row>
    <row r="83" spans="1:16" ht="20.45" customHeight="1" x14ac:dyDescent="0.25">
      <c r="A83" s="149"/>
      <c r="B83" s="149"/>
      <c r="C83" s="149"/>
      <c r="D83" s="171"/>
      <c r="E83" s="171"/>
      <c r="F83" s="171"/>
      <c r="G83" s="171"/>
      <c r="H83" s="172"/>
      <c r="I83" s="172"/>
      <c r="J83" s="172"/>
      <c r="K83" s="172"/>
      <c r="L83" s="172"/>
      <c r="M83" s="172"/>
      <c r="N83" s="172"/>
      <c r="O83" s="169"/>
    </row>
    <row r="84" spans="1:16" ht="20.45" customHeight="1" x14ac:dyDescent="0.25">
      <c r="A84" s="149"/>
      <c r="B84" s="149"/>
      <c r="C84" s="149"/>
      <c r="D84" s="171"/>
      <c r="E84" s="171"/>
      <c r="F84" s="171"/>
      <c r="G84" s="171"/>
      <c r="H84" s="172"/>
      <c r="I84" s="172"/>
      <c r="J84" s="172"/>
      <c r="K84" s="172"/>
      <c r="L84" s="172"/>
      <c r="M84" s="172"/>
      <c r="N84" s="172"/>
      <c r="O84" s="169"/>
    </row>
    <row r="85" spans="1:16" ht="19.899999999999999" customHeight="1" x14ac:dyDescent="0.3">
      <c r="A85" s="10" t="s">
        <v>61</v>
      </c>
      <c r="B85" s="7"/>
      <c r="C85" s="7"/>
      <c r="D85" s="7"/>
      <c r="E85" s="7"/>
      <c r="F85" s="378" t="s">
        <v>32</v>
      </c>
      <c r="G85" s="378"/>
      <c r="H85" s="378"/>
      <c r="I85" s="378"/>
      <c r="J85" s="378"/>
      <c r="K85" s="378"/>
      <c r="L85" s="378"/>
      <c r="M85" s="378"/>
      <c r="N85" s="378"/>
      <c r="O85" s="156"/>
      <c r="P85" s="156"/>
    </row>
    <row r="86" spans="1:16" ht="12" customHeight="1" x14ac:dyDescent="0.3">
      <c r="A86" s="10"/>
      <c r="B86" s="7"/>
      <c r="C86" s="7"/>
      <c r="D86" s="7"/>
      <c r="E86" s="7"/>
      <c r="F86" s="154"/>
      <c r="G86" s="154"/>
      <c r="H86" s="154"/>
      <c r="I86" s="154"/>
      <c r="J86" s="154"/>
      <c r="K86" s="154"/>
      <c r="L86" s="154"/>
      <c r="M86" s="154"/>
      <c r="N86" s="154"/>
      <c r="O86" s="156"/>
      <c r="P86" s="156"/>
    </row>
    <row r="87" spans="1:16" ht="19.899999999999999" customHeight="1" x14ac:dyDescent="0.3">
      <c r="A87" s="7" t="s">
        <v>216</v>
      </c>
      <c r="B87" s="7"/>
      <c r="C87" s="7"/>
      <c r="D87" s="7"/>
      <c r="E87" s="7"/>
      <c r="F87" s="154"/>
      <c r="G87" s="154"/>
      <c r="H87" s="154"/>
      <c r="I87" s="154"/>
      <c r="J87" s="154"/>
      <c r="K87" s="154"/>
      <c r="L87" s="154"/>
      <c r="M87" s="154"/>
      <c r="N87" s="154"/>
      <c r="O87" s="156"/>
      <c r="P87" s="156"/>
    </row>
    <row r="88" spans="1:16" ht="12.6" customHeight="1" x14ac:dyDescent="0.3">
      <c r="A88" s="7"/>
      <c r="B88" s="7"/>
      <c r="C88" s="7"/>
      <c r="D88" s="7"/>
      <c r="E88" s="7"/>
      <c r="F88" s="154"/>
      <c r="G88" s="154"/>
      <c r="H88" s="154"/>
      <c r="I88" s="154"/>
      <c r="J88" s="154"/>
      <c r="K88" s="154"/>
      <c r="L88" s="154"/>
      <c r="M88" s="154"/>
      <c r="N88" s="154"/>
      <c r="O88" s="156"/>
      <c r="P88" s="156"/>
    </row>
    <row r="89" spans="1:16" ht="16.149999999999999" customHeight="1" x14ac:dyDescent="0.25">
      <c r="A89" s="279" t="s">
        <v>97</v>
      </c>
      <c r="B89" s="279"/>
      <c r="C89" s="279"/>
      <c r="D89" s="279"/>
      <c r="E89" s="279" t="s">
        <v>89</v>
      </c>
      <c r="F89" s="279"/>
      <c r="G89" s="279"/>
      <c r="H89" s="279"/>
      <c r="I89" s="279"/>
      <c r="J89" s="279"/>
      <c r="K89" s="279"/>
      <c r="L89" s="279"/>
      <c r="M89" s="279"/>
      <c r="N89" s="279"/>
      <c r="O89" s="157"/>
    </row>
    <row r="90" spans="1:16" ht="16.149999999999999" customHeight="1" x14ac:dyDescent="0.25">
      <c r="A90" s="279"/>
      <c r="B90" s="279"/>
      <c r="C90" s="279"/>
      <c r="D90" s="279"/>
      <c r="E90" s="279" t="s">
        <v>100</v>
      </c>
      <c r="F90" s="279"/>
      <c r="G90" s="279"/>
      <c r="H90" s="279"/>
      <c r="I90" s="279"/>
      <c r="J90" s="279" t="s">
        <v>101</v>
      </c>
      <c r="K90" s="279"/>
      <c r="L90" s="279"/>
      <c r="M90" s="279"/>
      <c r="N90" s="279"/>
      <c r="O90" s="157"/>
    </row>
    <row r="91" spans="1:16" ht="16.149999999999999" customHeight="1" x14ac:dyDescent="0.25">
      <c r="A91" s="280" t="s">
        <v>90</v>
      </c>
      <c r="B91" s="280"/>
      <c r="C91" s="280"/>
      <c r="D91" s="280"/>
      <c r="E91" s="283" t="s">
        <v>169</v>
      </c>
      <c r="F91" s="283"/>
      <c r="G91" s="283"/>
      <c r="H91" s="283"/>
      <c r="I91" s="283"/>
      <c r="J91" s="550" t="s">
        <v>90</v>
      </c>
      <c r="K91" s="551"/>
      <c r="L91" s="551"/>
      <c r="M91" s="551"/>
      <c r="N91" s="552"/>
      <c r="O91" s="157"/>
    </row>
    <row r="92" spans="1:16" ht="16.149999999999999" customHeight="1" x14ac:dyDescent="0.25">
      <c r="A92" s="535" t="s">
        <v>168</v>
      </c>
      <c r="B92" s="536"/>
      <c r="C92" s="536"/>
      <c r="D92" s="537"/>
      <c r="E92" s="283"/>
      <c r="F92" s="283"/>
      <c r="G92" s="283"/>
      <c r="H92" s="283"/>
      <c r="I92" s="283"/>
      <c r="J92" s="312" t="s">
        <v>132</v>
      </c>
      <c r="K92" s="313"/>
      <c r="L92" s="313"/>
      <c r="M92" s="313"/>
      <c r="N92" s="314"/>
      <c r="O92" s="157"/>
    </row>
    <row r="93" spans="1:16" ht="16.149999999999999" customHeight="1" x14ac:dyDescent="0.25">
      <c r="A93" s="547" t="s">
        <v>191</v>
      </c>
      <c r="B93" s="547"/>
      <c r="C93" s="547"/>
      <c r="D93" s="547"/>
      <c r="E93" s="283"/>
      <c r="F93" s="283"/>
      <c r="G93" s="283"/>
      <c r="H93" s="283"/>
      <c r="I93" s="283"/>
      <c r="J93" s="553" t="s">
        <v>133</v>
      </c>
      <c r="K93" s="554"/>
      <c r="L93" s="554"/>
      <c r="M93" s="554"/>
      <c r="N93" s="555"/>
      <c r="O93" s="157"/>
    </row>
    <row r="94" spans="1:16" ht="16.149999999999999" customHeight="1" x14ac:dyDescent="0.25">
      <c r="A94" s="309" t="s">
        <v>122</v>
      </c>
      <c r="B94" s="310"/>
      <c r="C94" s="311"/>
      <c r="D94" s="108">
        <v>54</v>
      </c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157"/>
    </row>
    <row r="95" spans="1:16" ht="19.899999999999999" customHeight="1" x14ac:dyDescent="0.25">
      <c r="A95" s="293" t="s">
        <v>0</v>
      </c>
      <c r="B95" s="296" t="s">
        <v>19</v>
      </c>
      <c r="C95" s="296" t="s">
        <v>8</v>
      </c>
      <c r="D95" s="296" t="s">
        <v>9</v>
      </c>
      <c r="E95" s="299" t="s">
        <v>11</v>
      </c>
      <c r="F95" s="300"/>
      <c r="G95" s="299" t="s">
        <v>13</v>
      </c>
      <c r="H95" s="300"/>
      <c r="I95" s="293" t="s">
        <v>16</v>
      </c>
      <c r="J95" s="293" t="s">
        <v>41</v>
      </c>
      <c r="K95" s="293" t="s">
        <v>42</v>
      </c>
      <c r="L95" s="528" t="s">
        <v>17</v>
      </c>
      <c r="M95" s="293" t="s">
        <v>57</v>
      </c>
      <c r="N95" s="293" t="s">
        <v>18</v>
      </c>
      <c r="O95" s="158"/>
    </row>
    <row r="96" spans="1:16" ht="19.899999999999999" customHeight="1" x14ac:dyDescent="0.25">
      <c r="A96" s="294"/>
      <c r="B96" s="297"/>
      <c r="C96" s="297"/>
      <c r="D96" s="297"/>
      <c r="E96" s="301"/>
      <c r="F96" s="302"/>
      <c r="G96" s="301"/>
      <c r="H96" s="302"/>
      <c r="I96" s="303"/>
      <c r="J96" s="303"/>
      <c r="K96" s="303"/>
      <c r="L96" s="529"/>
      <c r="M96" s="303"/>
      <c r="N96" s="294"/>
      <c r="O96" s="149"/>
    </row>
    <row r="97" spans="1:20" ht="19.899999999999999" customHeight="1" x14ac:dyDescent="0.25">
      <c r="A97" s="294"/>
      <c r="B97" s="297"/>
      <c r="C97" s="297"/>
      <c r="D97" s="297"/>
      <c r="E97" s="293" t="s">
        <v>10</v>
      </c>
      <c r="F97" s="293" t="s">
        <v>12</v>
      </c>
      <c r="G97" s="293" t="s">
        <v>14</v>
      </c>
      <c r="H97" s="293" t="s">
        <v>15</v>
      </c>
      <c r="I97" s="303"/>
      <c r="J97" s="303"/>
      <c r="K97" s="303"/>
      <c r="L97" s="529"/>
      <c r="M97" s="303"/>
      <c r="N97" s="294"/>
      <c r="O97" s="149"/>
    </row>
    <row r="98" spans="1:20" ht="19.899999999999999" customHeight="1" x14ac:dyDescent="0.25">
      <c r="A98" s="295"/>
      <c r="B98" s="298"/>
      <c r="C98" s="298"/>
      <c r="D98" s="298"/>
      <c r="E98" s="304"/>
      <c r="F98" s="304"/>
      <c r="G98" s="304"/>
      <c r="H98" s="304"/>
      <c r="I98" s="304"/>
      <c r="J98" s="304"/>
      <c r="K98" s="304"/>
      <c r="L98" s="530"/>
      <c r="M98" s="304"/>
      <c r="N98" s="295"/>
      <c r="O98" s="149"/>
    </row>
    <row r="99" spans="1:20" ht="16.149999999999999" customHeight="1" x14ac:dyDescent="0.25">
      <c r="A99" s="318" t="s">
        <v>39</v>
      </c>
      <c r="B99" s="319"/>
      <c r="C99" s="319"/>
      <c r="D99" s="319"/>
      <c r="E99" s="319"/>
      <c r="F99" s="319"/>
      <c r="G99" s="319"/>
      <c r="H99" s="319"/>
      <c r="I99" s="319"/>
      <c r="J99" s="319"/>
      <c r="K99" s="319"/>
      <c r="L99" s="319"/>
      <c r="M99" s="319"/>
      <c r="N99" s="320"/>
      <c r="O99" s="149"/>
    </row>
    <row r="100" spans="1:20" ht="16.149999999999999" customHeight="1" x14ac:dyDescent="0.25">
      <c r="A100" s="8">
        <v>1</v>
      </c>
      <c r="B100" s="9" t="s">
        <v>2</v>
      </c>
      <c r="C100" s="20">
        <f>L100/100*100</f>
        <v>70</v>
      </c>
      <c r="D100" s="21">
        <f>C100/100*60</f>
        <v>42</v>
      </c>
      <c r="E100" s="22">
        <f>C100/100*15</f>
        <v>10.5</v>
      </c>
      <c r="F100" s="22"/>
      <c r="G100" s="22"/>
      <c r="H100" s="22"/>
      <c r="I100" s="22"/>
      <c r="J100" s="24">
        <f>C100/100*387</f>
        <v>270.89999999999998</v>
      </c>
      <c r="K100" s="24">
        <f>C100/100*0.09</f>
        <v>6.3E-2</v>
      </c>
      <c r="L100" s="116">
        <v>70</v>
      </c>
      <c r="M100" s="61">
        <v>20</v>
      </c>
      <c r="N100" s="20">
        <f>L100*M100</f>
        <v>1400</v>
      </c>
      <c r="O100" s="3"/>
    </row>
    <row r="101" spans="1:20" ht="16.149999999999999" customHeight="1" x14ac:dyDescent="0.25">
      <c r="A101" s="8">
        <v>2</v>
      </c>
      <c r="B101" s="124" t="s">
        <v>141</v>
      </c>
      <c r="C101" s="20">
        <f>L101/100*100</f>
        <v>100</v>
      </c>
      <c r="D101" s="21">
        <f>C101/100*899</f>
        <v>899</v>
      </c>
      <c r="E101" s="22"/>
      <c r="F101" s="22"/>
      <c r="G101" s="22">
        <f>C101/100*100</f>
        <v>100</v>
      </c>
      <c r="H101" s="22"/>
      <c r="I101" s="22"/>
      <c r="J101" s="22"/>
      <c r="K101" s="22"/>
      <c r="L101" s="116">
        <v>100</v>
      </c>
      <c r="M101" s="100">
        <v>68</v>
      </c>
      <c r="N101" s="20">
        <f t="shared" ref="N101:N109" si="3">L101*M101</f>
        <v>6800</v>
      </c>
      <c r="O101" s="160"/>
    </row>
    <row r="102" spans="1:20" ht="16.149999999999999" customHeight="1" x14ac:dyDescent="0.25">
      <c r="A102" s="8">
        <v>3</v>
      </c>
      <c r="B102" s="126" t="s">
        <v>146</v>
      </c>
      <c r="C102" s="20">
        <f>L102/100*100</f>
        <v>340</v>
      </c>
      <c r="D102" s="100">
        <f>C102/100*900</f>
        <v>3060</v>
      </c>
      <c r="E102" s="22"/>
      <c r="F102" s="22"/>
      <c r="G102" s="99"/>
      <c r="H102" s="22">
        <f>C102/100*100</f>
        <v>340</v>
      </c>
      <c r="I102" s="22"/>
      <c r="J102" s="22"/>
      <c r="K102" s="22"/>
      <c r="L102" s="116">
        <v>340</v>
      </c>
      <c r="M102" s="61">
        <v>63.5</v>
      </c>
      <c r="N102" s="20">
        <f t="shared" si="3"/>
        <v>21590</v>
      </c>
      <c r="O102" s="160"/>
    </row>
    <row r="103" spans="1:20" ht="16.149999999999999" customHeight="1" x14ac:dyDescent="0.25">
      <c r="A103" s="8">
        <v>4</v>
      </c>
      <c r="B103" s="4" t="s">
        <v>1</v>
      </c>
      <c r="C103" s="20">
        <f>L103/100*100</f>
        <v>2322</v>
      </c>
      <c r="D103" s="21">
        <f>C103/100*344</f>
        <v>7987.6799999999994</v>
      </c>
      <c r="E103" s="22"/>
      <c r="F103" s="22">
        <f>C103/100*7.9</f>
        <v>183.43799999999999</v>
      </c>
      <c r="G103" s="22"/>
      <c r="H103" s="22">
        <f>C103/100*1</f>
        <v>23.22</v>
      </c>
      <c r="I103" s="99">
        <f>C103/100*73.2</f>
        <v>1699.704</v>
      </c>
      <c r="J103" s="24">
        <f>C103/100*30</f>
        <v>696.59999999999991</v>
      </c>
      <c r="K103" s="24">
        <f>C103/100*0.1</f>
        <v>2.3220000000000001</v>
      </c>
      <c r="L103" s="116">
        <v>2322</v>
      </c>
      <c r="M103" s="61">
        <v>18</v>
      </c>
      <c r="N103" s="20">
        <f t="shared" si="3"/>
        <v>41796</v>
      </c>
      <c r="O103" s="3"/>
    </row>
    <row r="104" spans="1:20" ht="16.149999999999999" customHeight="1" x14ac:dyDescent="0.25">
      <c r="A104" s="8">
        <v>5</v>
      </c>
      <c r="B104" s="4" t="s">
        <v>96</v>
      </c>
      <c r="C104" s="20">
        <f>L104/100*90</f>
        <v>1080</v>
      </c>
      <c r="D104" s="21">
        <f>C104/100*90</f>
        <v>972.00000000000011</v>
      </c>
      <c r="E104" s="22">
        <f>C104/100*18.4</f>
        <v>198.72</v>
      </c>
      <c r="F104" s="22"/>
      <c r="G104" s="22">
        <f>C104/100*1.8</f>
        <v>19.440000000000001</v>
      </c>
      <c r="H104" s="22"/>
      <c r="I104" s="22"/>
      <c r="J104" s="66">
        <f>C104/100*1120</f>
        <v>12096</v>
      </c>
      <c r="K104" s="24">
        <f>C104/100*0.02</f>
        <v>0.21600000000000003</v>
      </c>
      <c r="L104" s="116">
        <v>1200</v>
      </c>
      <c r="M104" s="23">
        <v>250</v>
      </c>
      <c r="N104" s="104">
        <f t="shared" si="3"/>
        <v>300000</v>
      </c>
      <c r="O104" s="3"/>
      <c r="Q104" s="2"/>
      <c r="R104" s="2"/>
      <c r="S104" s="3"/>
    </row>
    <row r="105" spans="1:20" ht="16.149999999999999" customHeight="1" x14ac:dyDescent="0.25">
      <c r="A105" s="8">
        <v>6</v>
      </c>
      <c r="B105" s="9" t="s">
        <v>71</v>
      </c>
      <c r="C105" s="20">
        <f>L105/100*98</f>
        <v>1577.8000000000002</v>
      </c>
      <c r="D105" s="21">
        <f>C105/100*139</f>
        <v>2193.1420000000003</v>
      </c>
      <c r="E105" s="22">
        <f>C105/100*19</f>
        <v>299.78200000000004</v>
      </c>
      <c r="F105" s="22"/>
      <c r="G105" s="22">
        <f>C105/100*7</f>
        <v>110.44600000000001</v>
      </c>
      <c r="H105" s="22"/>
      <c r="I105" s="22"/>
      <c r="J105" s="24">
        <f>C105/100*7</f>
        <v>110.44600000000001</v>
      </c>
      <c r="K105" s="24">
        <f>C105/100*0.9</f>
        <v>14.200200000000002</v>
      </c>
      <c r="L105" s="116">
        <v>1610</v>
      </c>
      <c r="M105" s="121">
        <v>130</v>
      </c>
      <c r="N105" s="20">
        <f t="shared" si="3"/>
        <v>209300</v>
      </c>
      <c r="O105" s="3"/>
    </row>
    <row r="106" spans="1:20" ht="16.149999999999999" customHeight="1" x14ac:dyDescent="0.25">
      <c r="A106" s="8">
        <v>7</v>
      </c>
      <c r="B106" s="4" t="s">
        <v>20</v>
      </c>
      <c r="C106" s="20">
        <f>L106/100*95</f>
        <v>361</v>
      </c>
      <c r="D106" s="21">
        <f>C106/100*20</f>
        <v>72.2</v>
      </c>
      <c r="E106" s="22"/>
      <c r="F106" s="22">
        <f>C106/100*0.6</f>
        <v>2.1659999999999999</v>
      </c>
      <c r="G106" s="22"/>
      <c r="H106" s="22">
        <f>C106/100*0.2</f>
        <v>0.72199999999999998</v>
      </c>
      <c r="I106" s="22">
        <f>C106/100*4</f>
        <v>14.44</v>
      </c>
      <c r="J106" s="24">
        <f>C106/100*12</f>
        <v>43.32</v>
      </c>
      <c r="K106" s="21">
        <f>C106/100*0.04</f>
        <v>0.1444</v>
      </c>
      <c r="L106" s="116">
        <v>380</v>
      </c>
      <c r="M106" s="63">
        <v>40</v>
      </c>
      <c r="N106" s="20">
        <f t="shared" si="3"/>
        <v>15200</v>
      </c>
      <c r="O106" s="15"/>
      <c r="Q106" s="2"/>
      <c r="R106" s="2"/>
      <c r="S106" s="3"/>
    </row>
    <row r="107" spans="1:20" ht="16.149999999999999" customHeight="1" x14ac:dyDescent="0.25">
      <c r="A107" s="8">
        <v>8</v>
      </c>
      <c r="B107" s="4" t="s">
        <v>155</v>
      </c>
      <c r="C107" s="20">
        <f>L107/100*81</f>
        <v>437.40000000000003</v>
      </c>
      <c r="D107" s="21">
        <f>C107/100*17</f>
        <v>74.358000000000004</v>
      </c>
      <c r="E107" s="25"/>
      <c r="F107" s="25">
        <f>C107/100*0.9</f>
        <v>3.9366000000000008</v>
      </c>
      <c r="G107" s="25"/>
      <c r="H107" s="25">
        <f>C107/100*0.2</f>
        <v>0.87480000000000013</v>
      </c>
      <c r="I107" s="25">
        <f>C107/100*2.8</f>
        <v>12.247200000000001</v>
      </c>
      <c r="J107" s="22">
        <f>C107/100*28</f>
        <v>122.47200000000001</v>
      </c>
      <c r="K107" s="24">
        <f>C107/100*0.04</f>
        <v>0.17496000000000003</v>
      </c>
      <c r="L107" s="161">
        <v>540</v>
      </c>
      <c r="M107" s="61">
        <v>20</v>
      </c>
      <c r="N107" s="20">
        <f t="shared" si="3"/>
        <v>10800</v>
      </c>
      <c r="O107" s="3"/>
      <c r="P107" s="2"/>
    </row>
    <row r="108" spans="1:20" s="119" customFormat="1" ht="16.149999999999999" customHeight="1" x14ac:dyDescent="0.25">
      <c r="A108" s="140">
        <v>9</v>
      </c>
      <c r="B108" s="127" t="s">
        <v>192</v>
      </c>
      <c r="C108" s="114">
        <f>L108/100*65</f>
        <v>988</v>
      </c>
      <c r="D108" s="117">
        <f>C108/100*14</f>
        <v>138.32000000000002</v>
      </c>
      <c r="E108" s="115"/>
      <c r="F108" s="115">
        <f>C108/100*1.6</f>
        <v>15.808000000000002</v>
      </c>
      <c r="G108" s="115"/>
      <c r="H108" s="115"/>
      <c r="I108" s="115">
        <f>C108/100*1.9</f>
        <v>18.772000000000002</v>
      </c>
      <c r="J108" s="115">
        <f>C108/100*63</f>
        <v>622.44000000000005</v>
      </c>
      <c r="K108" s="115">
        <f>C108/100*0.01</f>
        <v>9.8800000000000013E-2</v>
      </c>
      <c r="L108" s="116">
        <v>1520</v>
      </c>
      <c r="M108" s="141">
        <v>18</v>
      </c>
      <c r="N108" s="114">
        <f t="shared" si="3"/>
        <v>27360</v>
      </c>
      <c r="O108" s="164"/>
    </row>
    <row r="109" spans="1:20" ht="16.149999999999999" customHeight="1" x14ac:dyDescent="0.25">
      <c r="A109" s="8">
        <v>10</v>
      </c>
      <c r="B109" s="4" t="s">
        <v>136</v>
      </c>
      <c r="C109" s="20">
        <f>L109/100*100</f>
        <v>40</v>
      </c>
      <c r="D109" s="21">
        <f>C109/100*247</f>
        <v>98.800000000000011</v>
      </c>
      <c r="E109" s="25"/>
      <c r="F109" s="25">
        <f>C109/100*17.5</f>
        <v>7</v>
      </c>
      <c r="G109" s="25"/>
      <c r="H109" s="25">
        <f>C109/100*1.6</f>
        <v>0.64000000000000012</v>
      </c>
      <c r="I109" s="25">
        <f>C109/100*39.2</f>
        <v>15.680000000000001</v>
      </c>
      <c r="J109" s="60"/>
      <c r="K109" s="60"/>
      <c r="L109" s="161">
        <v>40</v>
      </c>
      <c r="M109" s="61">
        <v>50</v>
      </c>
      <c r="N109" s="20">
        <f t="shared" si="3"/>
        <v>2000</v>
      </c>
      <c r="O109" s="3"/>
      <c r="Q109" s="2"/>
      <c r="R109" s="2"/>
      <c r="S109" s="3"/>
      <c r="T109" s="2"/>
    </row>
    <row r="110" spans="1:20" ht="16.149999999999999" customHeight="1" x14ac:dyDescent="0.25">
      <c r="A110" s="8">
        <v>11</v>
      </c>
      <c r="B110" s="5" t="s">
        <v>123</v>
      </c>
      <c r="C110" s="20"/>
      <c r="D110" s="21"/>
      <c r="E110" s="22"/>
      <c r="F110" s="22"/>
      <c r="G110" s="22"/>
      <c r="H110" s="22"/>
      <c r="I110" s="22"/>
      <c r="J110" s="24"/>
      <c r="K110" s="24"/>
      <c r="L110" s="23"/>
      <c r="M110" s="23"/>
      <c r="N110" s="20">
        <v>3950</v>
      </c>
      <c r="O110" s="3"/>
      <c r="Q110" s="2"/>
      <c r="R110" s="2"/>
      <c r="S110" s="3"/>
      <c r="T110" s="2"/>
    </row>
    <row r="111" spans="1:20" ht="16.149999999999999" customHeight="1" x14ac:dyDescent="0.25">
      <c r="A111" s="18" t="s">
        <v>118</v>
      </c>
      <c r="B111" s="19"/>
      <c r="C111" s="29"/>
      <c r="D111" s="101">
        <f>SUM(D100:D110)</f>
        <v>15537.5</v>
      </c>
      <c r="E111" s="6"/>
      <c r="F111" s="6"/>
      <c r="G111" s="6"/>
      <c r="H111" s="6"/>
      <c r="I111" s="6"/>
      <c r="J111" s="6"/>
      <c r="K111" s="6"/>
      <c r="L111" s="37"/>
      <c r="M111" s="398"/>
      <c r="N111" s="531">
        <f>SUM(N100:N110)</f>
        <v>640196</v>
      </c>
      <c r="O111" s="3"/>
    </row>
    <row r="112" spans="1:20" ht="16.149999999999999" customHeight="1" x14ac:dyDescent="0.25">
      <c r="A112" s="18" t="s">
        <v>37</v>
      </c>
      <c r="B112" s="19"/>
      <c r="C112" s="38"/>
      <c r="D112" s="39">
        <f>D111/D94</f>
        <v>287.73148148148147</v>
      </c>
      <c r="E112" s="39"/>
      <c r="F112" s="39"/>
      <c r="G112" s="39"/>
      <c r="H112" s="39"/>
      <c r="I112" s="39"/>
      <c r="J112" s="39"/>
      <c r="K112" s="39"/>
      <c r="L112" s="37"/>
      <c r="M112" s="399"/>
      <c r="N112" s="532"/>
      <c r="O112" s="3"/>
    </row>
    <row r="113" spans="1:20" ht="16.149999999999999" customHeight="1" x14ac:dyDescent="0.25">
      <c r="A113" s="380" t="s">
        <v>53</v>
      </c>
      <c r="B113" s="306"/>
      <c r="C113" s="173" t="s">
        <v>151</v>
      </c>
      <c r="D113" s="17" t="s">
        <v>45</v>
      </c>
      <c r="E113" s="39"/>
      <c r="F113" s="39"/>
      <c r="G113" s="39"/>
      <c r="H113" s="39"/>
      <c r="I113" s="39"/>
      <c r="J113" s="40"/>
      <c r="K113" s="40"/>
      <c r="L113" s="37"/>
      <c r="M113" s="37"/>
      <c r="N113" s="150"/>
      <c r="O113" s="3"/>
    </row>
    <row r="114" spans="1:20" ht="16.149999999999999" customHeight="1" x14ac:dyDescent="0.25">
      <c r="A114" s="307"/>
      <c r="B114" s="308"/>
      <c r="C114" s="62" t="s">
        <v>60</v>
      </c>
      <c r="D114" s="64">
        <f>D112*100/930</f>
        <v>30.938868976503382</v>
      </c>
      <c r="E114" s="39"/>
      <c r="F114" s="39"/>
      <c r="G114" s="39"/>
      <c r="H114" s="39"/>
      <c r="I114" s="39"/>
      <c r="J114" s="40"/>
      <c r="K114" s="40"/>
      <c r="L114" s="37"/>
      <c r="M114" s="37"/>
      <c r="N114" s="150"/>
      <c r="O114" s="3"/>
    </row>
    <row r="115" spans="1:20" ht="16.149999999999999" customHeight="1" x14ac:dyDescent="0.3">
      <c r="A115" s="316" t="s">
        <v>38</v>
      </c>
      <c r="B115" s="316"/>
      <c r="C115" s="47"/>
      <c r="D115" s="48"/>
      <c r="E115" s="49"/>
      <c r="F115" s="49"/>
      <c r="G115" s="49"/>
      <c r="H115" s="49"/>
      <c r="I115" s="49"/>
      <c r="J115" s="49"/>
      <c r="K115" s="49"/>
      <c r="L115" s="50"/>
      <c r="M115" s="50"/>
      <c r="N115" s="47"/>
      <c r="O115" s="3"/>
    </row>
    <row r="116" spans="1:20" ht="16.149999999999999" customHeight="1" x14ac:dyDescent="0.25">
      <c r="A116" s="8">
        <v>1</v>
      </c>
      <c r="B116" s="9" t="s">
        <v>2</v>
      </c>
      <c r="C116" s="20">
        <f>L116/100*100</f>
        <v>60</v>
      </c>
      <c r="D116" s="21">
        <f>C116/100*60</f>
        <v>36</v>
      </c>
      <c r="E116" s="22">
        <f>C116/100*15</f>
        <v>9</v>
      </c>
      <c r="F116" s="22"/>
      <c r="G116" s="22"/>
      <c r="H116" s="22"/>
      <c r="I116" s="22"/>
      <c r="J116" s="24">
        <f>C116/100*387</f>
        <v>232.2</v>
      </c>
      <c r="K116" s="24">
        <f>C116/100*0.09</f>
        <v>5.3999999999999999E-2</v>
      </c>
      <c r="L116" s="116">
        <v>60</v>
      </c>
      <c r="M116" s="61">
        <v>20</v>
      </c>
      <c r="N116" s="114">
        <f>L116*M116</f>
        <v>1200</v>
      </c>
      <c r="O116" s="3"/>
    </row>
    <row r="117" spans="1:20" ht="16.149999999999999" customHeight="1" x14ac:dyDescent="0.25">
      <c r="A117" s="8">
        <v>2</v>
      </c>
      <c r="B117" s="124" t="s">
        <v>141</v>
      </c>
      <c r="C117" s="20">
        <f>L117/100*100</f>
        <v>250</v>
      </c>
      <c r="D117" s="21">
        <f>C117/100*899</f>
        <v>2247.5</v>
      </c>
      <c r="E117" s="22"/>
      <c r="F117" s="22"/>
      <c r="G117" s="22">
        <f>C117/100*100</f>
        <v>250</v>
      </c>
      <c r="H117" s="22"/>
      <c r="I117" s="22"/>
      <c r="J117" s="24"/>
      <c r="K117" s="24"/>
      <c r="L117" s="116">
        <v>250</v>
      </c>
      <c r="M117" s="61">
        <v>68</v>
      </c>
      <c r="N117" s="114">
        <f t="shared" ref="N117:N123" si="4">L117*M117</f>
        <v>17000</v>
      </c>
      <c r="O117" s="3"/>
    </row>
    <row r="118" spans="1:20" ht="16.149999999999999" customHeight="1" x14ac:dyDescent="0.25">
      <c r="A118" s="8">
        <v>3</v>
      </c>
      <c r="B118" s="4" t="s">
        <v>1</v>
      </c>
      <c r="C118" s="20">
        <f>L118/100*100</f>
        <v>2268</v>
      </c>
      <c r="D118" s="21">
        <f>C118/100*344</f>
        <v>7801.92</v>
      </c>
      <c r="E118" s="22"/>
      <c r="F118" s="22">
        <f>C118/100*7.9</f>
        <v>179.172</v>
      </c>
      <c r="G118" s="22"/>
      <c r="H118" s="22">
        <f>C118/100*1</f>
        <v>22.68</v>
      </c>
      <c r="I118" s="99">
        <f>C118/100*73.2</f>
        <v>1660.1759999999999</v>
      </c>
      <c r="J118" s="24">
        <f>C118/100*30</f>
        <v>680.4</v>
      </c>
      <c r="K118" s="24">
        <f>C118/100*0.1</f>
        <v>2.2680000000000002</v>
      </c>
      <c r="L118" s="116">
        <v>2268</v>
      </c>
      <c r="M118" s="61">
        <v>18</v>
      </c>
      <c r="N118" s="114">
        <f t="shared" si="4"/>
        <v>40824</v>
      </c>
      <c r="O118" s="3"/>
    </row>
    <row r="119" spans="1:20" ht="16.149999999999999" customHeight="1" x14ac:dyDescent="0.25">
      <c r="A119" s="8">
        <v>4</v>
      </c>
      <c r="B119" s="9" t="s">
        <v>64</v>
      </c>
      <c r="C119" s="20">
        <f>L119/100*40</f>
        <v>432</v>
      </c>
      <c r="D119" s="21">
        <f>C119/100*276</f>
        <v>1192.3200000000002</v>
      </c>
      <c r="E119" s="22">
        <f>C119/100*17.8</f>
        <v>76.896000000000015</v>
      </c>
      <c r="F119" s="22"/>
      <c r="G119" s="22">
        <f>C119/100*21.8</f>
        <v>94.176000000000016</v>
      </c>
      <c r="H119" s="22"/>
      <c r="I119" s="115"/>
      <c r="J119" s="24">
        <f>C119/100*13</f>
        <v>56.160000000000004</v>
      </c>
      <c r="K119" s="24">
        <f>C119/100*0.07</f>
        <v>0.30240000000000006</v>
      </c>
      <c r="L119" s="116">
        <v>1080</v>
      </c>
      <c r="M119" s="61">
        <v>63</v>
      </c>
      <c r="N119" s="20">
        <f t="shared" si="4"/>
        <v>68040</v>
      </c>
      <c r="O119" s="3"/>
    </row>
    <row r="120" spans="1:20" ht="16.149999999999999" customHeight="1" x14ac:dyDescent="0.25">
      <c r="A120" s="8">
        <v>5</v>
      </c>
      <c r="B120" s="4" t="s">
        <v>30</v>
      </c>
      <c r="C120" s="20">
        <f>L120/100*88</f>
        <v>1566.4</v>
      </c>
      <c r="D120" s="21">
        <f>C120/100*184</f>
        <v>2882.1760000000004</v>
      </c>
      <c r="E120" s="22">
        <f>C120/100*13</f>
        <v>203.63200000000001</v>
      </c>
      <c r="F120" s="22"/>
      <c r="G120" s="22">
        <f>C120/100*14.2</f>
        <v>222.42880000000002</v>
      </c>
      <c r="H120" s="22"/>
      <c r="I120" s="22">
        <f>C120/100*1</f>
        <v>15.664000000000001</v>
      </c>
      <c r="J120" s="66">
        <f>C120/100*71</f>
        <v>1112.144</v>
      </c>
      <c r="K120" s="24">
        <f>C120/100*0.15</f>
        <v>2.3496000000000001</v>
      </c>
      <c r="L120" s="116">
        <v>1780</v>
      </c>
      <c r="M120" s="61">
        <v>62</v>
      </c>
      <c r="N120" s="20">
        <f t="shared" si="4"/>
        <v>110360</v>
      </c>
      <c r="O120" s="3"/>
      <c r="Q120" s="2"/>
      <c r="R120" s="2"/>
      <c r="S120" s="3"/>
    </row>
    <row r="121" spans="1:20" ht="16.149999999999999" customHeight="1" x14ac:dyDescent="0.25">
      <c r="A121" s="8">
        <v>6</v>
      </c>
      <c r="B121" s="4" t="s">
        <v>20</v>
      </c>
      <c r="C121" s="20">
        <f>L121/100*95</f>
        <v>778.99999999999989</v>
      </c>
      <c r="D121" s="21">
        <f>C121/100*20</f>
        <v>155.79999999999998</v>
      </c>
      <c r="E121" s="115"/>
      <c r="F121" s="22">
        <f>C121/100*0.6</f>
        <v>4.6739999999999995</v>
      </c>
      <c r="G121" s="22"/>
      <c r="H121" s="22">
        <f>C121/100*0.2</f>
        <v>1.5579999999999998</v>
      </c>
      <c r="I121" s="22">
        <f>C121/100*4</f>
        <v>31.159999999999997</v>
      </c>
      <c r="J121" s="60">
        <f>C121/100*12</f>
        <v>93.47999999999999</v>
      </c>
      <c r="K121" s="60">
        <f>C121/100*0.04</f>
        <v>0.31159999999999999</v>
      </c>
      <c r="L121" s="161">
        <v>820</v>
      </c>
      <c r="M121" s="61">
        <v>40</v>
      </c>
      <c r="N121" s="20">
        <f t="shared" si="4"/>
        <v>32800</v>
      </c>
      <c r="O121" s="3"/>
      <c r="Q121" s="2"/>
      <c r="R121" s="2"/>
    </row>
    <row r="122" spans="1:20" ht="16.149999999999999" customHeight="1" x14ac:dyDescent="0.25">
      <c r="A122" s="8">
        <v>7</v>
      </c>
      <c r="B122" s="4" t="s">
        <v>93</v>
      </c>
      <c r="C122" s="20">
        <f>L122/100*81.7</f>
        <v>1323.54</v>
      </c>
      <c r="D122" s="21">
        <f>C122/100*27</f>
        <v>357.35579999999999</v>
      </c>
      <c r="E122" s="25"/>
      <c r="F122" s="25">
        <f>C122/100*0.3</f>
        <v>3.9706199999999998</v>
      </c>
      <c r="G122" s="25"/>
      <c r="H122" s="25">
        <f>C122/100*0.1</f>
        <v>1.3235400000000002</v>
      </c>
      <c r="I122" s="25">
        <f>C122/100*6.1</f>
        <v>80.735939999999999</v>
      </c>
      <c r="J122" s="60">
        <f>C122/100*24</f>
        <v>317.64960000000002</v>
      </c>
      <c r="K122" s="60">
        <f>C122/100*0.06</f>
        <v>0.79412399999999994</v>
      </c>
      <c r="L122" s="161">
        <v>1620</v>
      </c>
      <c r="M122" s="23">
        <v>22</v>
      </c>
      <c r="N122" s="20">
        <f t="shared" si="4"/>
        <v>35640</v>
      </c>
      <c r="O122" s="3"/>
      <c r="Q122" s="2"/>
      <c r="R122" s="2"/>
      <c r="S122" s="3"/>
    </row>
    <row r="123" spans="1:20" ht="16.149999999999999" customHeight="1" x14ac:dyDescent="0.25">
      <c r="A123" s="8">
        <v>8</v>
      </c>
      <c r="B123" s="4" t="s">
        <v>136</v>
      </c>
      <c r="C123" s="20">
        <f>L123/100*100</f>
        <v>40</v>
      </c>
      <c r="D123" s="21">
        <f>C123/100*247</f>
        <v>98.800000000000011</v>
      </c>
      <c r="E123" s="25"/>
      <c r="F123" s="25">
        <f>C123/100*17.5</f>
        <v>7</v>
      </c>
      <c r="G123" s="25"/>
      <c r="H123" s="25">
        <f>C123/100*1.6</f>
        <v>0.64000000000000012</v>
      </c>
      <c r="I123" s="25">
        <f>C123/100*39.2</f>
        <v>15.680000000000001</v>
      </c>
      <c r="J123" s="60"/>
      <c r="K123" s="60"/>
      <c r="L123" s="161">
        <v>40</v>
      </c>
      <c r="M123" s="61">
        <v>50</v>
      </c>
      <c r="N123" s="20">
        <f t="shared" si="4"/>
        <v>2000</v>
      </c>
      <c r="O123" s="3"/>
      <c r="Q123" s="2"/>
      <c r="R123" s="2"/>
      <c r="S123" s="3"/>
      <c r="T123" s="2"/>
    </row>
    <row r="124" spans="1:20" ht="16.149999999999999" customHeight="1" x14ac:dyDescent="0.25">
      <c r="A124" s="8">
        <v>9</v>
      </c>
      <c r="B124" s="5" t="s">
        <v>123</v>
      </c>
      <c r="C124" s="20"/>
      <c r="D124" s="21"/>
      <c r="E124" s="22"/>
      <c r="F124" s="22"/>
      <c r="G124" s="22"/>
      <c r="H124" s="22"/>
      <c r="I124" s="22"/>
      <c r="J124" s="24"/>
      <c r="K124" s="24"/>
      <c r="L124" s="23"/>
      <c r="M124" s="23"/>
      <c r="N124" s="20">
        <v>3950</v>
      </c>
      <c r="O124" s="3"/>
      <c r="Q124" s="2"/>
      <c r="R124" s="2"/>
      <c r="S124" s="3"/>
      <c r="T124" s="2"/>
    </row>
    <row r="125" spans="1:20" ht="16.149999999999999" customHeight="1" x14ac:dyDescent="0.25">
      <c r="A125" s="18" t="s">
        <v>119</v>
      </c>
      <c r="B125" s="19"/>
      <c r="C125" s="29"/>
      <c r="D125" s="101">
        <f>SUM(D116:D124)</f>
        <v>14771.871799999999</v>
      </c>
      <c r="E125" s="6"/>
      <c r="F125" s="6"/>
      <c r="G125" s="6"/>
      <c r="H125" s="6"/>
      <c r="I125" s="6"/>
      <c r="J125" s="6"/>
      <c r="K125" s="6"/>
      <c r="L125" s="37"/>
      <c r="M125" s="398"/>
      <c r="N125" s="531">
        <f>SUM(N116:N124)</f>
        <v>311814</v>
      </c>
      <c r="O125" s="3"/>
    </row>
    <row r="126" spans="1:20" ht="16.149999999999999" customHeight="1" x14ac:dyDescent="0.25">
      <c r="A126" s="18" t="s">
        <v>36</v>
      </c>
      <c r="B126" s="19"/>
      <c r="C126" s="51"/>
      <c r="D126" s="40">
        <f>D125/D94</f>
        <v>273.55318148148149</v>
      </c>
      <c r="E126" s="40"/>
      <c r="F126" s="40"/>
      <c r="G126" s="40"/>
      <c r="H126" s="40"/>
      <c r="I126" s="40"/>
      <c r="J126" s="40"/>
      <c r="K126" s="40"/>
      <c r="L126" s="52"/>
      <c r="M126" s="399"/>
      <c r="N126" s="549"/>
      <c r="O126" s="3"/>
    </row>
    <row r="127" spans="1:20" ht="16.149999999999999" customHeight="1" x14ac:dyDescent="0.25">
      <c r="A127" s="380" t="s">
        <v>54</v>
      </c>
      <c r="B127" s="306"/>
      <c r="C127" s="173" t="s">
        <v>151</v>
      </c>
      <c r="D127" s="17" t="s">
        <v>46</v>
      </c>
      <c r="E127" s="39"/>
      <c r="F127" s="39"/>
      <c r="G127" s="39"/>
      <c r="H127" s="39"/>
      <c r="I127" s="39"/>
      <c r="J127" s="40"/>
      <c r="K127" s="40"/>
      <c r="L127" s="37"/>
      <c r="M127" s="37"/>
      <c r="N127" s="150"/>
      <c r="O127" s="3"/>
    </row>
    <row r="128" spans="1:20" ht="16.149999999999999" customHeight="1" x14ac:dyDescent="0.25">
      <c r="A128" s="307"/>
      <c r="B128" s="308"/>
      <c r="C128" s="62" t="s">
        <v>60</v>
      </c>
      <c r="D128" s="64">
        <f>D126*100/930</f>
        <v>29.414320589406611</v>
      </c>
      <c r="E128" s="39"/>
      <c r="F128" s="39"/>
      <c r="G128" s="38"/>
      <c r="H128" s="38"/>
      <c r="I128" s="38"/>
      <c r="J128" s="40"/>
      <c r="K128" s="40"/>
      <c r="L128" s="37"/>
      <c r="M128" s="37"/>
      <c r="N128" s="150"/>
      <c r="O128" s="3"/>
    </row>
    <row r="129" spans="1:20" ht="16.149999999999999" customHeight="1" x14ac:dyDescent="0.3">
      <c r="A129" s="316" t="s">
        <v>35</v>
      </c>
      <c r="B129" s="316"/>
      <c r="C129" s="53"/>
      <c r="D129" s="54"/>
      <c r="E129" s="54"/>
      <c r="F129" s="54"/>
      <c r="G129" s="54"/>
      <c r="H129" s="54"/>
      <c r="I129" s="54"/>
      <c r="J129" s="54"/>
      <c r="K129" s="54"/>
      <c r="L129" s="55"/>
      <c r="M129" s="55"/>
      <c r="N129" s="56"/>
      <c r="O129" s="3"/>
    </row>
    <row r="130" spans="1:20" ht="16.149999999999999" customHeight="1" x14ac:dyDescent="0.25">
      <c r="A130" s="8">
        <v>1</v>
      </c>
      <c r="B130" s="9" t="s">
        <v>70</v>
      </c>
      <c r="C130" s="20">
        <f>L130/100*90</f>
        <v>18</v>
      </c>
      <c r="D130" s="21">
        <f>C130/100*253</f>
        <v>45.54</v>
      </c>
      <c r="E130" s="22"/>
      <c r="F130" s="22">
        <f>C130/100*32.4</f>
        <v>5.8319999999999999</v>
      </c>
      <c r="G130" s="22"/>
      <c r="H130" s="22">
        <f>C130/100*3.6</f>
        <v>0.64800000000000002</v>
      </c>
      <c r="I130" s="22">
        <f>C130/100*21.1</f>
        <v>3.798</v>
      </c>
      <c r="J130" s="24">
        <f>C130/100*165.6</f>
        <v>29.807999999999996</v>
      </c>
      <c r="K130" s="24">
        <f>C130/100*0.14</f>
        <v>2.52E-2</v>
      </c>
      <c r="L130" s="116">
        <v>20</v>
      </c>
      <c r="M130" s="61">
        <v>275</v>
      </c>
      <c r="N130" s="20">
        <f t="shared" ref="N130:N134" si="5">L130*M130</f>
        <v>5500</v>
      </c>
      <c r="O130" s="3"/>
    </row>
    <row r="131" spans="1:20" ht="16.149999999999999" customHeight="1" x14ac:dyDescent="0.25">
      <c r="A131" s="8">
        <v>2</v>
      </c>
      <c r="B131" s="4" t="s">
        <v>138</v>
      </c>
      <c r="C131" s="20">
        <f>L131/100*100</f>
        <v>220.00000000000003</v>
      </c>
      <c r="D131" s="21">
        <f>C131/100*340</f>
        <v>748.00000000000011</v>
      </c>
      <c r="E131" s="25"/>
      <c r="F131" s="25">
        <f>C131/100*0.7</f>
        <v>1.54</v>
      </c>
      <c r="G131" s="25"/>
      <c r="H131" s="25"/>
      <c r="I131" s="25">
        <f>C131/100*84.3</f>
        <v>185.46</v>
      </c>
      <c r="J131" s="60"/>
      <c r="K131" s="60"/>
      <c r="L131" s="161">
        <v>220</v>
      </c>
      <c r="M131" s="61">
        <v>180</v>
      </c>
      <c r="N131" s="20">
        <f t="shared" si="5"/>
        <v>39600</v>
      </c>
      <c r="O131" s="3"/>
      <c r="Q131" s="2"/>
      <c r="R131" s="2"/>
      <c r="S131" s="3"/>
      <c r="T131" s="2"/>
    </row>
    <row r="132" spans="1:20" ht="16.149999999999999" customHeight="1" x14ac:dyDescent="0.25">
      <c r="A132" s="8">
        <v>3</v>
      </c>
      <c r="B132" s="9" t="s">
        <v>170</v>
      </c>
      <c r="C132" s="20">
        <f>L132/100*55</f>
        <v>450.99999999999994</v>
      </c>
      <c r="D132" s="100">
        <f>C132/100*196</f>
        <v>883.95999999999992</v>
      </c>
      <c r="E132" s="22"/>
      <c r="F132" s="115">
        <f>C132/100*4.1</f>
        <v>18.490999999999996</v>
      </c>
      <c r="G132" s="22"/>
      <c r="H132" s="22">
        <f>C132/100*2.3</f>
        <v>10.372999999999999</v>
      </c>
      <c r="I132" s="22">
        <f>C132/100*39.6</f>
        <v>178.596</v>
      </c>
      <c r="J132" s="24">
        <f>C132/100*4</f>
        <v>18.04</v>
      </c>
      <c r="K132" s="24">
        <f>C132/100*0.15</f>
        <v>0.67649999999999999</v>
      </c>
      <c r="L132" s="182">
        <v>820</v>
      </c>
      <c r="M132" s="61">
        <v>22</v>
      </c>
      <c r="N132" s="20">
        <f t="shared" si="5"/>
        <v>18040</v>
      </c>
      <c r="O132" s="164"/>
      <c r="P132" s="119"/>
      <c r="Q132" s="119"/>
    </row>
    <row r="133" spans="1:20" ht="16.149999999999999" customHeight="1" x14ac:dyDescent="0.25">
      <c r="A133" s="8">
        <v>4</v>
      </c>
      <c r="B133" s="4" t="s">
        <v>69</v>
      </c>
      <c r="C133" s="20">
        <f>L133/100*48</f>
        <v>974.40000000000009</v>
      </c>
      <c r="D133" s="21">
        <f>C133/100*199</f>
        <v>1939.0560000000003</v>
      </c>
      <c r="E133" s="22">
        <f>C133/100*20.3</f>
        <v>197.80320000000003</v>
      </c>
      <c r="F133" s="22"/>
      <c r="G133" s="22">
        <f>C133/100*13.1</f>
        <v>127.64640000000001</v>
      </c>
      <c r="H133" s="22"/>
      <c r="I133" s="22"/>
      <c r="J133" s="24">
        <f>C133/100*12</f>
        <v>116.92800000000003</v>
      </c>
      <c r="K133" s="24">
        <f>C133/100*0.15</f>
        <v>1.4616000000000002</v>
      </c>
      <c r="L133" s="23">
        <v>2030</v>
      </c>
      <c r="M133" s="116">
        <v>84</v>
      </c>
      <c r="N133" s="20">
        <f t="shared" si="5"/>
        <v>170520</v>
      </c>
      <c r="O133" s="3"/>
      <c r="Q133" s="2"/>
      <c r="R133" s="2"/>
      <c r="S133" s="3"/>
    </row>
    <row r="134" spans="1:20" ht="16.149999999999999" customHeight="1" x14ac:dyDescent="0.25">
      <c r="A134" s="86">
        <v>5</v>
      </c>
      <c r="B134" s="93" t="s">
        <v>171</v>
      </c>
      <c r="C134" s="87">
        <f>L134/100*85</f>
        <v>51</v>
      </c>
      <c r="D134" s="88">
        <f>C134/100*11</f>
        <v>5.61</v>
      </c>
      <c r="E134" s="89"/>
      <c r="F134" s="89">
        <f>C134/100*2.2</f>
        <v>1.1220000000000001</v>
      </c>
      <c r="G134" s="89"/>
      <c r="H134" s="89"/>
      <c r="I134" s="89">
        <f>C134/100*0.6</f>
        <v>0.30599999999999999</v>
      </c>
      <c r="J134" s="94"/>
      <c r="K134" s="94"/>
      <c r="L134" s="254">
        <v>60</v>
      </c>
      <c r="M134" s="123">
        <v>30</v>
      </c>
      <c r="N134" s="87">
        <f t="shared" si="5"/>
        <v>1800</v>
      </c>
      <c r="O134" s="3"/>
      <c r="Q134" s="2"/>
      <c r="R134" s="2"/>
    </row>
    <row r="135" spans="1:20" ht="20.45" customHeight="1" x14ac:dyDescent="0.25">
      <c r="A135" s="293" t="s">
        <v>0</v>
      </c>
      <c r="B135" s="296" t="s">
        <v>19</v>
      </c>
      <c r="C135" s="296" t="s">
        <v>8</v>
      </c>
      <c r="D135" s="296" t="s">
        <v>9</v>
      </c>
      <c r="E135" s="299" t="s">
        <v>11</v>
      </c>
      <c r="F135" s="300"/>
      <c r="G135" s="299" t="s">
        <v>13</v>
      </c>
      <c r="H135" s="300"/>
      <c r="I135" s="293" t="s">
        <v>16</v>
      </c>
      <c r="J135" s="293" t="s">
        <v>41</v>
      </c>
      <c r="K135" s="293" t="s">
        <v>42</v>
      </c>
      <c r="L135" s="528" t="s">
        <v>17</v>
      </c>
      <c r="M135" s="293" t="s">
        <v>57</v>
      </c>
      <c r="N135" s="293" t="s">
        <v>18</v>
      </c>
      <c r="O135" s="158"/>
    </row>
    <row r="136" spans="1:20" ht="20.45" customHeight="1" x14ac:dyDescent="0.25">
      <c r="A136" s="294"/>
      <c r="B136" s="297"/>
      <c r="C136" s="297"/>
      <c r="D136" s="297"/>
      <c r="E136" s="301"/>
      <c r="F136" s="302"/>
      <c r="G136" s="301"/>
      <c r="H136" s="302"/>
      <c r="I136" s="303"/>
      <c r="J136" s="303"/>
      <c r="K136" s="303"/>
      <c r="L136" s="529"/>
      <c r="M136" s="303"/>
      <c r="N136" s="294"/>
      <c r="O136" s="149"/>
    </row>
    <row r="137" spans="1:20" ht="20.45" customHeight="1" x14ac:dyDescent="0.25">
      <c r="A137" s="294"/>
      <c r="B137" s="297"/>
      <c r="C137" s="297"/>
      <c r="D137" s="297"/>
      <c r="E137" s="293" t="s">
        <v>10</v>
      </c>
      <c r="F137" s="293" t="s">
        <v>12</v>
      </c>
      <c r="G137" s="293" t="s">
        <v>14</v>
      </c>
      <c r="H137" s="293" t="s">
        <v>15</v>
      </c>
      <c r="I137" s="303"/>
      <c r="J137" s="303"/>
      <c r="K137" s="303"/>
      <c r="L137" s="529"/>
      <c r="M137" s="303"/>
      <c r="N137" s="294"/>
      <c r="O137" s="149"/>
    </row>
    <row r="138" spans="1:20" ht="20.45" customHeight="1" x14ac:dyDescent="0.25">
      <c r="A138" s="295"/>
      <c r="B138" s="298"/>
      <c r="C138" s="298"/>
      <c r="D138" s="298"/>
      <c r="E138" s="304"/>
      <c r="F138" s="304"/>
      <c r="G138" s="304"/>
      <c r="H138" s="304"/>
      <c r="I138" s="304"/>
      <c r="J138" s="304"/>
      <c r="K138" s="304"/>
      <c r="L138" s="530"/>
      <c r="M138" s="304"/>
      <c r="N138" s="295"/>
      <c r="O138" s="149"/>
    </row>
    <row r="139" spans="1:20" ht="20.45" customHeight="1" x14ac:dyDescent="0.25">
      <c r="A139" s="18" t="s">
        <v>106</v>
      </c>
      <c r="B139" s="19"/>
      <c r="C139" s="29"/>
      <c r="D139" s="30">
        <f>SUM(D130:D134)</f>
        <v>3622.1660000000006</v>
      </c>
      <c r="E139" s="6"/>
      <c r="F139" s="6"/>
      <c r="G139" s="6"/>
      <c r="H139" s="6"/>
      <c r="I139" s="6"/>
      <c r="J139" s="42"/>
      <c r="K139" s="6"/>
      <c r="L139" s="37"/>
      <c r="M139" s="398"/>
      <c r="N139" s="531">
        <f>SUM(N130:N134)</f>
        <v>235460</v>
      </c>
      <c r="O139" s="3"/>
    </row>
    <row r="140" spans="1:20" ht="20.45" customHeight="1" x14ac:dyDescent="0.25">
      <c r="A140" s="18" t="s">
        <v>7</v>
      </c>
      <c r="B140" s="19"/>
      <c r="C140" s="38"/>
      <c r="D140" s="30">
        <f>D139/D94</f>
        <v>67.077148148148154</v>
      </c>
      <c r="E140" s="39"/>
      <c r="F140" s="39"/>
      <c r="G140" s="39"/>
      <c r="H140" s="39"/>
      <c r="I140" s="39"/>
      <c r="J140" s="67"/>
      <c r="K140" s="39"/>
      <c r="L140" s="37"/>
      <c r="M140" s="399"/>
      <c r="N140" s="532"/>
      <c r="O140" s="3"/>
    </row>
    <row r="141" spans="1:20" ht="20.45" customHeight="1" x14ac:dyDescent="0.25">
      <c r="A141" s="380" t="s">
        <v>52</v>
      </c>
      <c r="B141" s="306"/>
      <c r="C141" s="173" t="s">
        <v>151</v>
      </c>
      <c r="D141" s="17" t="s">
        <v>50</v>
      </c>
      <c r="E141" s="39"/>
      <c r="F141" s="39"/>
      <c r="G141" s="39"/>
      <c r="H141" s="39"/>
      <c r="I141" s="39"/>
      <c r="J141" s="68"/>
      <c r="K141" s="40"/>
      <c r="L141" s="37"/>
      <c r="M141" s="37"/>
      <c r="N141" s="150"/>
      <c r="O141" s="3"/>
    </row>
    <row r="142" spans="1:20" ht="20.45" customHeight="1" x14ac:dyDescent="0.25">
      <c r="A142" s="307"/>
      <c r="B142" s="308"/>
      <c r="C142" s="62" t="s">
        <v>60</v>
      </c>
      <c r="D142" s="64">
        <f>D140*100/930</f>
        <v>7.2125965750696936</v>
      </c>
      <c r="E142" s="39"/>
      <c r="F142" s="39"/>
      <c r="G142" s="39"/>
      <c r="H142" s="39"/>
      <c r="I142" s="39"/>
      <c r="J142" s="68"/>
      <c r="K142" s="40"/>
      <c r="L142" s="37"/>
      <c r="M142" s="37"/>
      <c r="N142" s="150"/>
      <c r="O142" s="3"/>
    </row>
    <row r="143" spans="1:20" ht="20.45" customHeight="1" x14ac:dyDescent="0.25">
      <c r="A143" s="371" t="s">
        <v>107</v>
      </c>
      <c r="B143" s="372"/>
      <c r="C143" s="375"/>
      <c r="D143" s="393">
        <f>SUM(D111+D125+D139)</f>
        <v>33931.537799999998</v>
      </c>
      <c r="E143" s="6">
        <f t="shared" ref="E143:K143" si="6">SUM(E100:E134)</f>
        <v>996.33320000000026</v>
      </c>
      <c r="F143" s="6">
        <f t="shared" si="6"/>
        <v>434.15021999999993</v>
      </c>
      <c r="G143" s="6">
        <f t="shared" si="6"/>
        <v>924.13720000000001</v>
      </c>
      <c r="H143" s="6">
        <f t="shared" si="6"/>
        <v>402.67933999999997</v>
      </c>
      <c r="I143" s="545">
        <f t="shared" si="6"/>
        <v>3932.4191399999995</v>
      </c>
      <c r="J143" s="545">
        <f t="shared" si="6"/>
        <v>16618.9876</v>
      </c>
      <c r="K143" s="367">
        <f t="shared" si="6"/>
        <v>25.462384</v>
      </c>
      <c r="L143" s="352"/>
      <c r="M143" s="352"/>
      <c r="N143" s="395">
        <f>N111+N125+N139</f>
        <v>1187470</v>
      </c>
    </row>
    <row r="144" spans="1:20" ht="20.45" customHeight="1" x14ac:dyDescent="0.25">
      <c r="A144" s="373"/>
      <c r="B144" s="374"/>
      <c r="C144" s="376"/>
      <c r="D144" s="394"/>
      <c r="E144" s="365">
        <f>E143+F143</f>
        <v>1430.4834200000003</v>
      </c>
      <c r="F144" s="366"/>
      <c r="G144" s="365">
        <f>G143+H143</f>
        <v>1326.81654</v>
      </c>
      <c r="H144" s="366"/>
      <c r="I144" s="546"/>
      <c r="J144" s="546"/>
      <c r="K144" s="368"/>
      <c r="L144" s="352"/>
      <c r="M144" s="352"/>
      <c r="N144" s="395"/>
    </row>
    <row r="145" spans="1:22" ht="20.45" customHeight="1" x14ac:dyDescent="0.25">
      <c r="A145" s="353" t="s">
        <v>77</v>
      </c>
      <c r="B145" s="354"/>
      <c r="C145" s="355"/>
      <c r="D145" s="112">
        <f>D143/D94</f>
        <v>628.36181111111102</v>
      </c>
      <c r="E145" s="174">
        <f>E143/D94</f>
        <v>18.45061481481482</v>
      </c>
      <c r="F145" s="175">
        <f>F143/D94</f>
        <v>8.0398188888888882</v>
      </c>
      <c r="G145" s="174">
        <f>G143/D94</f>
        <v>17.113651851851852</v>
      </c>
      <c r="H145" s="175">
        <f>H143/D94</f>
        <v>7.4570248148148144</v>
      </c>
      <c r="I145" s="344">
        <f>I143/D94</f>
        <v>72.822576666666663</v>
      </c>
      <c r="J145" s="344">
        <f>J143/D94</f>
        <v>307.75902962962965</v>
      </c>
      <c r="K145" s="347">
        <f>K143/D94</f>
        <v>0.47152562962962963</v>
      </c>
      <c r="L145" s="352"/>
      <c r="M145" s="352"/>
      <c r="N145" s="395"/>
      <c r="P145" s="119"/>
      <c r="Q145" s="333"/>
      <c r="R145" s="333"/>
      <c r="S145" s="333"/>
      <c r="T145" s="333"/>
      <c r="U145" s="346"/>
      <c r="V145" s="346"/>
    </row>
    <row r="146" spans="1:22" ht="20.45" customHeight="1" x14ac:dyDescent="0.25">
      <c r="A146" s="356"/>
      <c r="B146" s="357"/>
      <c r="C146" s="358"/>
      <c r="D146" s="107"/>
      <c r="E146" s="369">
        <f>E145+F145</f>
        <v>26.490433703703708</v>
      </c>
      <c r="F146" s="370"/>
      <c r="G146" s="369">
        <f>G145+H145</f>
        <v>24.570676666666667</v>
      </c>
      <c r="H146" s="370"/>
      <c r="I146" s="345"/>
      <c r="J146" s="345"/>
      <c r="K146" s="348"/>
      <c r="L146" s="352"/>
      <c r="M146" s="352"/>
      <c r="N146" s="395"/>
      <c r="P146" s="167"/>
      <c r="Q146" s="333"/>
      <c r="R146" s="333"/>
      <c r="S146" s="396"/>
      <c r="T146" s="396"/>
      <c r="U146" s="333"/>
      <c r="V146" s="333"/>
    </row>
    <row r="147" spans="1:22" ht="20.45" customHeight="1" x14ac:dyDescent="0.25">
      <c r="A147" s="381" t="s">
        <v>80</v>
      </c>
      <c r="B147" s="382"/>
      <c r="C147" s="383"/>
      <c r="D147" s="151" t="s">
        <v>29</v>
      </c>
      <c r="E147" s="279" t="s">
        <v>24</v>
      </c>
      <c r="F147" s="279"/>
      <c r="G147" s="279" t="s">
        <v>25</v>
      </c>
      <c r="H147" s="279"/>
      <c r="I147" s="177" t="s">
        <v>26</v>
      </c>
      <c r="J147" s="153">
        <v>500</v>
      </c>
      <c r="K147" s="153">
        <v>0.5</v>
      </c>
      <c r="L147" s="352"/>
      <c r="M147" s="352"/>
      <c r="N147" s="395"/>
      <c r="O147" s="169"/>
      <c r="P147" s="119"/>
      <c r="Q147" s="119"/>
      <c r="R147" s="119"/>
      <c r="S147" s="119"/>
      <c r="T147" s="119"/>
      <c r="U147" s="119"/>
      <c r="V147" s="119"/>
    </row>
    <row r="148" spans="1:22" ht="20.45" customHeight="1" x14ac:dyDescent="0.25">
      <c r="A148" s="271" t="s">
        <v>78</v>
      </c>
      <c r="B148" s="332"/>
      <c r="C148" s="272"/>
      <c r="D148" s="41"/>
      <c r="E148" s="359">
        <f>E146*4.1</f>
        <v>108.6107781851852</v>
      </c>
      <c r="F148" s="360"/>
      <c r="G148" s="359">
        <f>G146*9</f>
        <v>221.13609</v>
      </c>
      <c r="H148" s="360"/>
      <c r="I148" s="69">
        <f>I145*4.1</f>
        <v>298.57256433333328</v>
      </c>
      <c r="J148" s="337"/>
      <c r="K148" s="337"/>
      <c r="L148" s="352"/>
      <c r="M148" s="352"/>
      <c r="N148" s="395"/>
      <c r="O148" s="169"/>
      <c r="P148" s="170"/>
      <c r="Q148" s="155"/>
      <c r="R148" s="155"/>
      <c r="S148" s="155"/>
      <c r="T148" s="119"/>
      <c r="U148" s="119"/>
      <c r="V148" s="119"/>
    </row>
    <row r="149" spans="1:22" ht="20.45" customHeight="1" x14ac:dyDescent="0.25">
      <c r="A149" s="361" t="s">
        <v>87</v>
      </c>
      <c r="B149" s="362"/>
      <c r="C149" s="271" t="s">
        <v>59</v>
      </c>
      <c r="D149" s="272"/>
      <c r="E149" s="273">
        <f>E148*100/D145</f>
        <v>17.284751597671477</v>
      </c>
      <c r="F149" s="274"/>
      <c r="G149" s="273">
        <f>G148*100/D145</f>
        <v>35.192477660119494</v>
      </c>
      <c r="H149" s="274"/>
      <c r="I149" s="95">
        <f>I148*100/D145</f>
        <v>47.516026444283348</v>
      </c>
      <c r="J149" s="338"/>
      <c r="K149" s="338"/>
      <c r="L149" s="352"/>
      <c r="M149" s="352"/>
      <c r="N149" s="395"/>
      <c r="O149" s="169"/>
      <c r="P149" s="119"/>
      <c r="Q149" s="119"/>
      <c r="R149" s="119"/>
      <c r="S149" s="119"/>
      <c r="T149" s="119"/>
      <c r="U149" s="119"/>
      <c r="V149" s="119"/>
    </row>
    <row r="150" spans="1:22" ht="20.45" customHeight="1" x14ac:dyDescent="0.25">
      <c r="A150" s="363"/>
      <c r="B150" s="364"/>
      <c r="C150" s="271" t="s">
        <v>79</v>
      </c>
      <c r="D150" s="272"/>
      <c r="E150" s="271" t="s">
        <v>82</v>
      </c>
      <c r="F150" s="272"/>
      <c r="G150" s="271" t="s">
        <v>85</v>
      </c>
      <c r="H150" s="272"/>
      <c r="I150" s="151" t="s">
        <v>86</v>
      </c>
      <c r="J150" s="339"/>
      <c r="K150" s="339"/>
      <c r="L150" s="352"/>
      <c r="M150" s="352"/>
      <c r="N150" s="395"/>
      <c r="O150" s="169"/>
      <c r="P150" s="2"/>
    </row>
    <row r="151" spans="1:22" ht="20.45" customHeight="1" x14ac:dyDescent="0.25">
      <c r="A151" s="73"/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7"/>
      <c r="M151" s="77"/>
      <c r="N151" s="78"/>
      <c r="O151" s="169"/>
    </row>
    <row r="152" spans="1:22" ht="21" customHeight="1" x14ac:dyDescent="0.25">
      <c r="A152" s="265" t="s">
        <v>114</v>
      </c>
      <c r="B152" s="265"/>
      <c r="C152" s="265"/>
      <c r="D152" s="265"/>
      <c r="E152" s="265"/>
      <c r="F152" s="265"/>
      <c r="G152" s="265"/>
      <c r="H152" s="265"/>
      <c r="I152" s="265"/>
      <c r="J152" s="265"/>
      <c r="K152" s="265"/>
      <c r="L152" s="265"/>
      <c r="M152" s="265"/>
      <c r="N152" s="265"/>
      <c r="O152" s="169"/>
    </row>
    <row r="153" spans="1:22" ht="21" customHeight="1" x14ac:dyDescent="0.25">
      <c r="A153" s="97" t="s">
        <v>115</v>
      </c>
      <c r="B153" s="266" t="s">
        <v>116</v>
      </c>
      <c r="C153" s="266"/>
      <c r="D153" s="266"/>
      <c r="E153" s="266"/>
      <c r="F153" s="266"/>
      <c r="G153" s="266"/>
      <c r="H153" s="266"/>
      <c r="I153" s="266"/>
      <c r="J153" s="266"/>
      <c r="K153" s="266"/>
      <c r="L153" s="266"/>
      <c r="M153" s="266"/>
      <c r="N153" s="266"/>
      <c r="O153" s="169"/>
    </row>
    <row r="154" spans="1:22" ht="21" customHeight="1" x14ac:dyDescent="0.25">
      <c r="A154" s="98"/>
      <c r="B154" s="267" t="s">
        <v>219</v>
      </c>
      <c r="C154" s="267"/>
      <c r="D154" s="267"/>
      <c r="E154" s="267"/>
      <c r="F154" s="267"/>
      <c r="G154" s="267"/>
      <c r="H154" s="267"/>
      <c r="I154" s="267"/>
      <c r="J154" s="267"/>
      <c r="K154" s="267"/>
      <c r="L154" s="267"/>
      <c r="M154" s="267"/>
      <c r="N154" s="267"/>
      <c r="O154" s="169"/>
    </row>
    <row r="155" spans="1:22" ht="21" customHeight="1" x14ac:dyDescent="0.25">
      <c r="A155" s="98"/>
      <c r="B155" s="267" t="s">
        <v>220</v>
      </c>
      <c r="C155" s="267"/>
      <c r="D155" s="267"/>
      <c r="E155" s="267"/>
      <c r="F155" s="267"/>
      <c r="G155" s="267"/>
      <c r="H155" s="267"/>
      <c r="I155" s="267"/>
      <c r="J155" s="267"/>
      <c r="K155" s="267"/>
      <c r="L155" s="267"/>
      <c r="M155" s="267"/>
      <c r="N155" s="267"/>
      <c r="O155" s="169"/>
    </row>
    <row r="156" spans="1:22" ht="21" customHeight="1" x14ac:dyDescent="0.25">
      <c r="A156" s="98"/>
      <c r="B156" s="267" t="s">
        <v>221</v>
      </c>
      <c r="C156" s="267"/>
      <c r="D156" s="267"/>
      <c r="E156" s="267"/>
      <c r="F156" s="267"/>
      <c r="G156" s="267"/>
      <c r="H156" s="267"/>
      <c r="I156" s="267"/>
      <c r="J156" s="267"/>
      <c r="K156" s="267"/>
      <c r="L156" s="267"/>
      <c r="M156" s="267"/>
      <c r="N156" s="267"/>
      <c r="O156" s="169"/>
    </row>
    <row r="157" spans="1:22" ht="21" customHeight="1" x14ac:dyDescent="0.25">
      <c r="A157" s="73"/>
      <c r="B157" s="268" t="s">
        <v>117</v>
      </c>
      <c r="C157" s="268"/>
      <c r="D157" s="268"/>
      <c r="E157" s="268"/>
      <c r="F157" s="268"/>
      <c r="G157" s="268"/>
      <c r="H157" s="268"/>
      <c r="I157" s="268"/>
      <c r="J157" s="268"/>
      <c r="K157" s="268"/>
      <c r="L157" s="268"/>
      <c r="M157" s="268"/>
      <c r="N157" s="268"/>
      <c r="O157" s="169"/>
    </row>
    <row r="158" spans="1:22" ht="21" customHeight="1" x14ac:dyDescent="0.25">
      <c r="A158" s="73"/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7"/>
      <c r="M158" s="77"/>
      <c r="N158" s="78"/>
      <c r="O158" s="169"/>
    </row>
    <row r="159" spans="1:22" ht="21" customHeight="1" x14ac:dyDescent="0.25">
      <c r="A159" s="269" t="s">
        <v>62</v>
      </c>
      <c r="B159" s="269"/>
      <c r="C159" s="269"/>
      <c r="D159" s="269"/>
      <c r="E159" s="171"/>
      <c r="F159" s="171"/>
      <c r="G159" s="171"/>
      <c r="H159" s="171"/>
      <c r="I159" s="171"/>
      <c r="J159" s="270" t="s">
        <v>33</v>
      </c>
      <c r="K159" s="270"/>
      <c r="L159" s="270"/>
      <c r="M159" s="270"/>
      <c r="N159" s="270"/>
      <c r="O159" s="169"/>
    </row>
    <row r="160" spans="1:22" ht="21" customHeight="1" x14ac:dyDescent="0.25">
      <c r="A160" s="149"/>
      <c r="B160" s="149"/>
      <c r="C160" s="149"/>
      <c r="D160" s="171"/>
      <c r="E160" s="171"/>
      <c r="F160" s="171"/>
      <c r="G160" s="171"/>
      <c r="H160" s="172"/>
      <c r="I160" s="172"/>
      <c r="J160" s="172"/>
      <c r="K160" s="172"/>
      <c r="L160" s="172"/>
      <c r="M160" s="172"/>
      <c r="N160" s="172"/>
      <c r="O160" s="169"/>
    </row>
    <row r="161" spans="1:15" ht="21" customHeight="1" x14ac:dyDescent="0.25">
      <c r="A161" s="149"/>
      <c r="B161" s="149"/>
      <c r="C161" s="149"/>
      <c r="D161" s="171"/>
      <c r="E161" s="171"/>
      <c r="F161" s="171"/>
      <c r="G161" s="171"/>
      <c r="H161" s="172"/>
      <c r="I161" s="172"/>
      <c r="J161" s="172"/>
      <c r="K161" s="172"/>
      <c r="L161" s="172"/>
      <c r="M161" s="172"/>
      <c r="N161" s="172"/>
      <c r="O161" s="169"/>
    </row>
    <row r="162" spans="1:15" ht="21" customHeight="1" x14ac:dyDescent="0.25">
      <c r="A162" s="149"/>
      <c r="B162" s="149"/>
      <c r="C162" s="149"/>
      <c r="D162" s="171"/>
      <c r="E162" s="171"/>
      <c r="F162" s="171"/>
      <c r="G162" s="171"/>
      <c r="H162" s="172"/>
      <c r="I162" s="172"/>
      <c r="J162" s="261" t="s">
        <v>124</v>
      </c>
      <c r="K162" s="261"/>
      <c r="L162" s="261"/>
      <c r="M162" s="261"/>
      <c r="N162" s="261"/>
      <c r="O162" s="169"/>
    </row>
    <row r="163" spans="1:15" ht="21" customHeight="1" x14ac:dyDescent="0.25">
      <c r="A163" s="260" t="s">
        <v>91</v>
      </c>
      <c r="B163" s="260"/>
      <c r="C163" s="260"/>
      <c r="D163" s="260"/>
      <c r="E163" s="171"/>
      <c r="F163" s="171"/>
      <c r="G163" s="171"/>
      <c r="H163" s="172"/>
      <c r="I163" s="172"/>
      <c r="J163" s="261"/>
      <c r="K163" s="261"/>
      <c r="L163" s="261"/>
      <c r="M163" s="261"/>
      <c r="N163" s="261"/>
      <c r="O163" s="169"/>
    </row>
    <row r="164" spans="1:15" ht="20.45" customHeight="1" x14ac:dyDescent="0.25">
      <c r="J164" s="172"/>
      <c r="K164" s="172"/>
      <c r="L164" s="172"/>
      <c r="M164" s="172"/>
      <c r="N164" s="172"/>
    </row>
    <row r="165" spans="1:15" ht="20.45" customHeight="1" x14ac:dyDescent="0.25">
      <c r="J165" s="261" t="s">
        <v>127</v>
      </c>
      <c r="K165" s="261"/>
      <c r="L165" s="261"/>
      <c r="M165" s="261"/>
      <c r="N165" s="261"/>
    </row>
  </sheetData>
  <mergeCells count="207">
    <mergeCell ref="J162:N162"/>
    <mergeCell ref="J165:N165"/>
    <mergeCell ref="D45:D48"/>
    <mergeCell ref="J72:N72"/>
    <mergeCell ref="J75:N75"/>
    <mergeCell ref="B153:N153"/>
    <mergeCell ref="B154:N154"/>
    <mergeCell ref="B155:N155"/>
    <mergeCell ref="B156:N156"/>
    <mergeCell ref="B157:N157"/>
    <mergeCell ref="A159:D159"/>
    <mergeCell ref="J159:N159"/>
    <mergeCell ref="A148:C148"/>
    <mergeCell ref="E148:F148"/>
    <mergeCell ref="G148:H148"/>
    <mergeCell ref="A113:B114"/>
    <mergeCell ref="E91:I93"/>
    <mergeCell ref="E137:E138"/>
    <mergeCell ref="F137:F138"/>
    <mergeCell ref="G137:G138"/>
    <mergeCell ref="H137:H138"/>
    <mergeCell ref="A92:D92"/>
    <mergeCell ref="A93:D93"/>
    <mergeCell ref="J95:J98"/>
    <mergeCell ref="B65:N65"/>
    <mergeCell ref="B66:N66"/>
    <mergeCell ref="A69:D69"/>
    <mergeCell ref="J69:N69"/>
    <mergeCell ref="A73:D73"/>
    <mergeCell ref="J73:N73"/>
    <mergeCell ref="A89:D90"/>
    <mergeCell ref="E89:N89"/>
    <mergeCell ref="E90:I90"/>
    <mergeCell ref="D95:D98"/>
    <mergeCell ref="F97:F98"/>
    <mergeCell ref="G97:G98"/>
    <mergeCell ref="K95:K98"/>
    <mergeCell ref="A91:D91"/>
    <mergeCell ref="J91:N91"/>
    <mergeCell ref="J92:N92"/>
    <mergeCell ref="J93:N93"/>
    <mergeCell ref="A163:D163"/>
    <mergeCell ref="J163:N163"/>
    <mergeCell ref="K148:K150"/>
    <mergeCell ref="A149:B150"/>
    <mergeCell ref="C149:D149"/>
    <mergeCell ref="E149:F149"/>
    <mergeCell ref="K145:K146"/>
    <mergeCell ref="D143:D144"/>
    <mergeCell ref="I143:I144"/>
    <mergeCell ref="E144:F144"/>
    <mergeCell ref="I145:I146"/>
    <mergeCell ref="E146:F146"/>
    <mergeCell ref="J145:J146"/>
    <mergeCell ref="G149:H149"/>
    <mergeCell ref="C150:D150"/>
    <mergeCell ref="E150:F150"/>
    <mergeCell ref="G150:H150"/>
    <mergeCell ref="L143:L150"/>
    <mergeCell ref="M143:M150"/>
    <mergeCell ref="N143:N150"/>
    <mergeCell ref="A145:C146"/>
    <mergeCell ref="A147:C147"/>
    <mergeCell ref="J148:J150"/>
    <mergeCell ref="A152:N152"/>
    <mergeCell ref="U146:V146"/>
    <mergeCell ref="Q146:R146"/>
    <mergeCell ref="S146:T146"/>
    <mergeCell ref="A127:B128"/>
    <mergeCell ref="A129:B129"/>
    <mergeCell ref="M139:M140"/>
    <mergeCell ref="N139:N140"/>
    <mergeCell ref="A141:B142"/>
    <mergeCell ref="J143:J144"/>
    <mergeCell ref="K143:K144"/>
    <mergeCell ref="M125:M126"/>
    <mergeCell ref="N125:N126"/>
    <mergeCell ref="A135:A138"/>
    <mergeCell ref="B135:B138"/>
    <mergeCell ref="C135:C138"/>
    <mergeCell ref="D135:D138"/>
    <mergeCell ref="E135:F136"/>
    <mergeCell ref="G135:H136"/>
    <mergeCell ref="I135:I138"/>
    <mergeCell ref="J135:J138"/>
    <mergeCell ref="K135:K138"/>
    <mergeCell ref="L135:L138"/>
    <mergeCell ref="M135:M138"/>
    <mergeCell ref="N135:N138"/>
    <mergeCell ref="U54:V54"/>
    <mergeCell ref="U55:V55"/>
    <mergeCell ref="U145:V145"/>
    <mergeCell ref="Q54:R54"/>
    <mergeCell ref="S54:T54"/>
    <mergeCell ref="A95:A98"/>
    <mergeCell ref="B95:B98"/>
    <mergeCell ref="I55:I56"/>
    <mergeCell ref="A53:B54"/>
    <mergeCell ref="C53:C54"/>
    <mergeCell ref="M95:M98"/>
    <mergeCell ref="J58:J60"/>
    <mergeCell ref="K58:K60"/>
    <mergeCell ref="A94:C94"/>
    <mergeCell ref="A62:N62"/>
    <mergeCell ref="B63:N63"/>
    <mergeCell ref="B64:N64"/>
    <mergeCell ref="L53:L60"/>
    <mergeCell ref="M53:M60"/>
    <mergeCell ref="N53:N60"/>
    <mergeCell ref="I53:I54"/>
    <mergeCell ref="A143:B144"/>
    <mergeCell ref="C143:C144"/>
    <mergeCell ref="A115:B115"/>
    <mergeCell ref="M27:M28"/>
    <mergeCell ref="A51:B52"/>
    <mergeCell ref="M49:M50"/>
    <mergeCell ref="N49:N50"/>
    <mergeCell ref="E54:F54"/>
    <mergeCell ref="G54:H54"/>
    <mergeCell ref="J6:N9"/>
    <mergeCell ref="M11:M14"/>
    <mergeCell ref="A58:C58"/>
    <mergeCell ref="E58:F58"/>
    <mergeCell ref="G58:H58"/>
    <mergeCell ref="N27:N28"/>
    <mergeCell ref="A29:B30"/>
    <mergeCell ref="A31:B31"/>
    <mergeCell ref="A55:C56"/>
    <mergeCell ref="E57:F57"/>
    <mergeCell ref="D53:D54"/>
    <mergeCell ref="J53:J54"/>
    <mergeCell ref="K53:K54"/>
    <mergeCell ref="B45:B48"/>
    <mergeCell ref="K55:K56"/>
    <mergeCell ref="K11:K14"/>
    <mergeCell ref="A9:D9"/>
    <mergeCell ref="E6:I9"/>
    <mergeCell ref="F1:N1"/>
    <mergeCell ref="A15:N15"/>
    <mergeCell ref="A11:A14"/>
    <mergeCell ref="B11:B14"/>
    <mergeCell ref="C11:C14"/>
    <mergeCell ref="D11:D14"/>
    <mergeCell ref="E11:F12"/>
    <mergeCell ref="G11:H12"/>
    <mergeCell ref="I11:I14"/>
    <mergeCell ref="L11:L14"/>
    <mergeCell ref="N11:N14"/>
    <mergeCell ref="E13:E14"/>
    <mergeCell ref="F13:F14"/>
    <mergeCell ref="G13:G14"/>
    <mergeCell ref="H13:H14"/>
    <mergeCell ref="A6:D6"/>
    <mergeCell ref="A10:C10"/>
    <mergeCell ref="A7:D7"/>
    <mergeCell ref="A5:D5"/>
    <mergeCell ref="E5:N5"/>
    <mergeCell ref="J11:J14"/>
    <mergeCell ref="A8:D8"/>
    <mergeCell ref="E45:F46"/>
    <mergeCell ref="G45:H46"/>
    <mergeCell ref="I45:I48"/>
    <mergeCell ref="J45:J48"/>
    <mergeCell ref="J90:N90"/>
    <mergeCell ref="C45:C48"/>
    <mergeCell ref="G59:H59"/>
    <mergeCell ref="C60:D60"/>
    <mergeCell ref="A59:B60"/>
    <mergeCell ref="C59:D59"/>
    <mergeCell ref="E59:F59"/>
    <mergeCell ref="E60:F60"/>
    <mergeCell ref="G60:H60"/>
    <mergeCell ref="M45:M48"/>
    <mergeCell ref="N45:N48"/>
    <mergeCell ref="E47:E48"/>
    <mergeCell ref="F47:F48"/>
    <mergeCell ref="G47:G48"/>
    <mergeCell ref="H47:H48"/>
    <mergeCell ref="K45:K48"/>
    <mergeCell ref="L45:L48"/>
    <mergeCell ref="A45:A48"/>
    <mergeCell ref="A57:C57"/>
    <mergeCell ref="J55:J56"/>
    <mergeCell ref="S55:T55"/>
    <mergeCell ref="Q145:R145"/>
    <mergeCell ref="S145:T145"/>
    <mergeCell ref="E147:F147"/>
    <mergeCell ref="G147:H147"/>
    <mergeCell ref="E95:F96"/>
    <mergeCell ref="G95:H96"/>
    <mergeCell ref="I95:I98"/>
    <mergeCell ref="L95:L98"/>
    <mergeCell ref="N95:N98"/>
    <mergeCell ref="E97:E98"/>
    <mergeCell ref="M111:M112"/>
    <mergeCell ref="N111:N112"/>
    <mergeCell ref="E56:F56"/>
    <mergeCell ref="G56:H56"/>
    <mergeCell ref="F85:N85"/>
    <mergeCell ref="G57:H57"/>
    <mergeCell ref="G146:H146"/>
    <mergeCell ref="H97:H98"/>
    <mergeCell ref="A99:N99"/>
    <mergeCell ref="C95:C98"/>
    <mergeCell ref="G144:H144"/>
    <mergeCell ref="Q55:R55"/>
    <mergeCell ref="B67:N67"/>
  </mergeCells>
  <pageMargins left="0.54166666666666663" right="0.13333333333333333" top="0.42708333333333331" bottom="0.41666666666666669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56"/>
  <sheetViews>
    <sheetView view="pageLayout" workbookViewId="0">
      <selection activeCell="E141" sqref="E141:F141"/>
    </sheetView>
  </sheetViews>
  <sheetFormatPr defaultColWidth="9.140625" defaultRowHeight="21" customHeight="1" x14ac:dyDescent="0.25"/>
  <cols>
    <col min="1" max="1" width="4" style="1" customWidth="1"/>
    <col min="2" max="2" width="12" style="1" customWidth="1"/>
    <col min="3" max="3" width="5.28515625" style="1" customWidth="1"/>
    <col min="4" max="4" width="8" style="1" customWidth="1"/>
    <col min="5" max="8" width="6.140625" style="1" customWidth="1"/>
    <col min="9" max="9" width="7" style="1" customWidth="1"/>
    <col min="10" max="10" width="7.7109375" style="1" customWidth="1"/>
    <col min="11" max="11" width="7.42578125" style="1" customWidth="1"/>
    <col min="12" max="12" width="5.7109375" style="1" customWidth="1"/>
    <col min="13" max="13" width="5.28515625" style="1" customWidth="1"/>
    <col min="14" max="14" width="7.42578125" style="1" customWidth="1"/>
    <col min="15" max="15" width="11.85546875" style="1" customWidth="1"/>
    <col min="16" max="16" width="9.140625" style="1"/>
    <col min="17" max="22" width="7.85546875" style="1" customWidth="1"/>
    <col min="23" max="16384" width="9.140625" style="1"/>
  </cols>
  <sheetData>
    <row r="1" spans="1:16" ht="21.6" customHeight="1" x14ac:dyDescent="0.3">
      <c r="A1" s="10" t="s">
        <v>61</v>
      </c>
      <c r="B1" s="7"/>
      <c r="C1" s="7"/>
      <c r="D1" s="7"/>
      <c r="E1" s="7"/>
      <c r="F1" s="378" t="s">
        <v>31</v>
      </c>
      <c r="G1" s="378"/>
      <c r="H1" s="378"/>
      <c r="I1" s="378"/>
      <c r="J1" s="378"/>
      <c r="K1" s="378"/>
      <c r="L1" s="378"/>
      <c r="M1" s="378"/>
      <c r="N1" s="378"/>
      <c r="O1" s="156"/>
      <c r="P1" s="156"/>
    </row>
    <row r="2" spans="1:16" ht="21.6" customHeight="1" x14ac:dyDescent="0.3">
      <c r="A2" s="7" t="s">
        <v>222</v>
      </c>
      <c r="B2" s="7"/>
      <c r="C2" s="7"/>
      <c r="D2" s="7"/>
      <c r="E2" s="7"/>
      <c r="F2" s="154"/>
      <c r="G2" s="154"/>
      <c r="H2" s="154"/>
      <c r="I2" s="154"/>
      <c r="J2" s="154"/>
      <c r="K2" s="154"/>
      <c r="L2" s="154"/>
      <c r="M2" s="154"/>
      <c r="N2" s="154"/>
      <c r="O2" s="156"/>
      <c r="P2" s="156"/>
    </row>
    <row r="3" spans="1:16" ht="21.6" customHeight="1" x14ac:dyDescent="0.25">
      <c r="A3" s="279" t="s">
        <v>97</v>
      </c>
      <c r="B3" s="279"/>
      <c r="C3" s="279"/>
      <c r="D3" s="279"/>
      <c r="E3" s="279" t="s">
        <v>98</v>
      </c>
      <c r="F3" s="279"/>
      <c r="G3" s="279"/>
      <c r="H3" s="279"/>
      <c r="I3" s="279"/>
      <c r="J3" s="279"/>
      <c r="K3" s="279"/>
      <c r="L3" s="279"/>
      <c r="M3" s="279"/>
      <c r="N3" s="279"/>
      <c r="O3" s="157"/>
    </row>
    <row r="4" spans="1:16" ht="21.6" customHeight="1" x14ac:dyDescent="0.25">
      <c r="A4" s="280" t="s">
        <v>90</v>
      </c>
      <c r="B4" s="280"/>
      <c r="C4" s="280"/>
      <c r="D4" s="280"/>
      <c r="E4" s="283" t="s">
        <v>148</v>
      </c>
      <c r="F4" s="283"/>
      <c r="G4" s="283"/>
      <c r="H4" s="283"/>
      <c r="I4" s="283"/>
      <c r="J4" s="284" t="s">
        <v>175</v>
      </c>
      <c r="K4" s="285"/>
      <c r="L4" s="285"/>
      <c r="M4" s="285"/>
      <c r="N4" s="286"/>
      <c r="O4" s="157"/>
    </row>
    <row r="5" spans="1:16" ht="21.6" customHeight="1" x14ac:dyDescent="0.25">
      <c r="A5" s="535" t="s">
        <v>174</v>
      </c>
      <c r="B5" s="536"/>
      <c r="C5" s="536"/>
      <c r="D5" s="537"/>
      <c r="E5" s="283"/>
      <c r="F5" s="283"/>
      <c r="G5" s="283"/>
      <c r="H5" s="283"/>
      <c r="I5" s="283"/>
      <c r="J5" s="287"/>
      <c r="K5" s="288"/>
      <c r="L5" s="288"/>
      <c r="M5" s="288"/>
      <c r="N5" s="289"/>
      <c r="O5" s="157"/>
    </row>
    <row r="6" spans="1:16" ht="21.6" customHeight="1" x14ac:dyDescent="0.25">
      <c r="A6" s="281" t="s">
        <v>172</v>
      </c>
      <c r="B6" s="281"/>
      <c r="C6" s="281"/>
      <c r="D6" s="281"/>
      <c r="E6" s="283"/>
      <c r="F6" s="283"/>
      <c r="G6" s="283"/>
      <c r="H6" s="283"/>
      <c r="I6" s="283"/>
      <c r="J6" s="287"/>
      <c r="K6" s="288"/>
      <c r="L6" s="288"/>
      <c r="M6" s="288"/>
      <c r="N6" s="289"/>
      <c r="O6" s="157"/>
    </row>
    <row r="7" spans="1:16" ht="21.6" customHeight="1" x14ac:dyDescent="0.25">
      <c r="A7" s="547" t="s">
        <v>173</v>
      </c>
      <c r="B7" s="547"/>
      <c r="C7" s="547"/>
      <c r="D7" s="547"/>
      <c r="E7" s="283"/>
      <c r="F7" s="283"/>
      <c r="G7" s="283"/>
      <c r="H7" s="283"/>
      <c r="I7" s="283"/>
      <c r="J7" s="290"/>
      <c r="K7" s="291"/>
      <c r="L7" s="291"/>
      <c r="M7" s="291"/>
      <c r="N7" s="292"/>
      <c r="O7" s="157"/>
    </row>
    <row r="8" spans="1:16" ht="21.6" customHeight="1" x14ac:dyDescent="0.25">
      <c r="A8" s="309" t="s">
        <v>122</v>
      </c>
      <c r="B8" s="310"/>
      <c r="C8" s="311"/>
      <c r="D8" s="108">
        <v>91</v>
      </c>
      <c r="E8" s="70"/>
      <c r="F8" s="70"/>
      <c r="G8" s="70"/>
      <c r="H8" s="70"/>
      <c r="I8" s="70"/>
      <c r="J8" s="70"/>
      <c r="K8" s="70"/>
      <c r="L8" s="70"/>
      <c r="M8" s="70"/>
      <c r="N8" s="70"/>
      <c r="O8" s="157"/>
    </row>
    <row r="9" spans="1:16" ht="21.6" customHeight="1" x14ac:dyDescent="0.25">
      <c r="A9" s="293" t="s">
        <v>0</v>
      </c>
      <c r="B9" s="296" t="s">
        <v>19</v>
      </c>
      <c r="C9" s="566" t="s">
        <v>8</v>
      </c>
      <c r="D9" s="296" t="s">
        <v>9</v>
      </c>
      <c r="E9" s="299" t="s">
        <v>11</v>
      </c>
      <c r="F9" s="300"/>
      <c r="G9" s="299" t="s">
        <v>13</v>
      </c>
      <c r="H9" s="300"/>
      <c r="I9" s="293" t="s">
        <v>16</v>
      </c>
      <c r="J9" s="293" t="s">
        <v>41</v>
      </c>
      <c r="K9" s="293" t="s">
        <v>42</v>
      </c>
      <c r="L9" s="293" t="s">
        <v>17</v>
      </c>
      <c r="M9" s="293" t="s">
        <v>57</v>
      </c>
      <c r="N9" s="293" t="s">
        <v>18</v>
      </c>
      <c r="O9" s="158"/>
    </row>
    <row r="10" spans="1:16" ht="21.6" customHeight="1" x14ac:dyDescent="0.25">
      <c r="A10" s="294"/>
      <c r="B10" s="297"/>
      <c r="C10" s="567"/>
      <c r="D10" s="297"/>
      <c r="E10" s="301"/>
      <c r="F10" s="302"/>
      <c r="G10" s="301"/>
      <c r="H10" s="302"/>
      <c r="I10" s="303"/>
      <c r="J10" s="303"/>
      <c r="K10" s="303"/>
      <c r="L10" s="303"/>
      <c r="M10" s="303"/>
      <c r="N10" s="294"/>
      <c r="O10" s="149"/>
    </row>
    <row r="11" spans="1:16" ht="21.6" customHeight="1" x14ac:dyDescent="0.25">
      <c r="A11" s="294"/>
      <c r="B11" s="297"/>
      <c r="C11" s="567"/>
      <c r="D11" s="297"/>
      <c r="E11" s="293" t="s">
        <v>10</v>
      </c>
      <c r="F11" s="293" t="s">
        <v>12</v>
      </c>
      <c r="G11" s="293" t="s">
        <v>14</v>
      </c>
      <c r="H11" s="293" t="s">
        <v>15</v>
      </c>
      <c r="I11" s="303"/>
      <c r="J11" s="303"/>
      <c r="K11" s="303"/>
      <c r="L11" s="303"/>
      <c r="M11" s="303"/>
      <c r="N11" s="294"/>
      <c r="O11" s="149"/>
    </row>
    <row r="12" spans="1:16" ht="21.6" customHeight="1" x14ac:dyDescent="0.25">
      <c r="A12" s="295"/>
      <c r="B12" s="298"/>
      <c r="C12" s="568"/>
      <c r="D12" s="298"/>
      <c r="E12" s="304"/>
      <c r="F12" s="304"/>
      <c r="G12" s="304"/>
      <c r="H12" s="304"/>
      <c r="I12" s="304"/>
      <c r="J12" s="304"/>
      <c r="K12" s="304"/>
      <c r="L12" s="304"/>
      <c r="M12" s="304"/>
      <c r="N12" s="295"/>
      <c r="O12" s="149"/>
    </row>
    <row r="13" spans="1:16" ht="19.899999999999999" customHeight="1" x14ac:dyDescent="0.25">
      <c r="A13" s="318" t="s">
        <v>34</v>
      </c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20"/>
      <c r="O13" s="149"/>
    </row>
    <row r="14" spans="1:16" ht="19.899999999999999" customHeight="1" x14ac:dyDescent="0.25">
      <c r="A14" s="8">
        <v>1</v>
      </c>
      <c r="B14" s="9" t="s">
        <v>2</v>
      </c>
      <c r="C14" s="20">
        <f>L14/100*100</f>
        <v>120</v>
      </c>
      <c r="D14" s="21">
        <f>C14/100*60</f>
        <v>72</v>
      </c>
      <c r="E14" s="22">
        <f>C14/100*15</f>
        <v>18</v>
      </c>
      <c r="F14" s="22"/>
      <c r="G14" s="22"/>
      <c r="H14" s="22"/>
      <c r="I14" s="22"/>
      <c r="J14" s="24">
        <f>C14/100*387</f>
        <v>464.4</v>
      </c>
      <c r="K14" s="24">
        <f>C14/100*0.09</f>
        <v>0.108</v>
      </c>
      <c r="L14" s="116">
        <v>120</v>
      </c>
      <c r="M14" s="61">
        <v>20</v>
      </c>
      <c r="N14" s="20">
        <f>L14*M14</f>
        <v>2400</v>
      </c>
      <c r="O14" s="3"/>
    </row>
    <row r="15" spans="1:16" ht="19.899999999999999" customHeight="1" x14ac:dyDescent="0.25">
      <c r="A15" s="8">
        <v>2</v>
      </c>
      <c r="B15" s="124" t="s">
        <v>141</v>
      </c>
      <c r="C15" s="20">
        <f>L15/100*100</f>
        <v>270</v>
      </c>
      <c r="D15" s="21">
        <f>C15/100*899</f>
        <v>2427.3000000000002</v>
      </c>
      <c r="E15" s="22"/>
      <c r="F15" s="22"/>
      <c r="G15" s="99">
        <f>C15/100*100</f>
        <v>270</v>
      </c>
      <c r="H15" s="22"/>
      <c r="I15" s="22"/>
      <c r="J15" s="24"/>
      <c r="K15" s="24"/>
      <c r="L15" s="116">
        <v>270</v>
      </c>
      <c r="M15" s="61">
        <v>68</v>
      </c>
      <c r="N15" s="20">
        <f t="shared" ref="N15:N23" si="0">L15*M15</f>
        <v>18360</v>
      </c>
      <c r="O15" s="3"/>
    </row>
    <row r="16" spans="1:16" ht="19.899999999999999" customHeight="1" x14ac:dyDescent="0.25">
      <c r="A16" s="8">
        <v>3</v>
      </c>
      <c r="B16" s="4" t="s">
        <v>1</v>
      </c>
      <c r="C16" s="20">
        <f>L16/100*100</f>
        <v>8645</v>
      </c>
      <c r="D16" s="100">
        <f>C16/100*330.1</f>
        <v>28537.145000000004</v>
      </c>
      <c r="E16" s="22"/>
      <c r="F16" s="99">
        <f>C16/100*7.9</f>
        <v>682.95500000000004</v>
      </c>
      <c r="G16" s="22"/>
      <c r="H16" s="22">
        <f>C16/100*1</f>
        <v>86.45</v>
      </c>
      <c r="I16" s="99">
        <f>C16/100*70.1</f>
        <v>6060.1449999999995</v>
      </c>
      <c r="J16" s="66">
        <f>C16/100*30</f>
        <v>2593.5</v>
      </c>
      <c r="K16" s="24">
        <f>C16/100*0.1</f>
        <v>8.6450000000000014</v>
      </c>
      <c r="L16" s="116">
        <v>8645</v>
      </c>
      <c r="M16" s="61">
        <v>18</v>
      </c>
      <c r="N16" s="20">
        <f t="shared" si="0"/>
        <v>155610</v>
      </c>
      <c r="O16" s="3"/>
    </row>
    <row r="17" spans="1:20" ht="19.899999999999999" customHeight="1" x14ac:dyDescent="0.25">
      <c r="A17" s="8">
        <v>4</v>
      </c>
      <c r="B17" s="4" t="s">
        <v>69</v>
      </c>
      <c r="C17" s="20">
        <f>L17/100*48</f>
        <v>2030.3999999999999</v>
      </c>
      <c r="D17" s="21">
        <f>C17/100*199</f>
        <v>4040.4959999999996</v>
      </c>
      <c r="E17" s="99">
        <f>C17/100*20.3</f>
        <v>412.1712</v>
      </c>
      <c r="F17" s="99"/>
      <c r="G17" s="99">
        <f>C17/100*13.1</f>
        <v>265.98239999999998</v>
      </c>
      <c r="H17" s="22"/>
      <c r="I17" s="22"/>
      <c r="J17" s="24">
        <f>C17/100*12</f>
        <v>243.64799999999997</v>
      </c>
      <c r="K17" s="24">
        <f>C17/100*0.15</f>
        <v>3.0455999999999999</v>
      </c>
      <c r="L17" s="116">
        <v>4230</v>
      </c>
      <c r="M17" s="23">
        <v>84</v>
      </c>
      <c r="N17" s="20">
        <f t="shared" si="0"/>
        <v>355320</v>
      </c>
      <c r="O17" s="3"/>
      <c r="Q17" s="2"/>
      <c r="R17" s="2"/>
      <c r="S17" s="3"/>
    </row>
    <row r="18" spans="1:20" ht="19.899999999999999" customHeight="1" x14ac:dyDescent="0.25">
      <c r="A18" s="8">
        <v>5</v>
      </c>
      <c r="B18" s="9" t="s">
        <v>71</v>
      </c>
      <c r="C18" s="20">
        <f>L18/100*98</f>
        <v>891.8</v>
      </c>
      <c r="D18" s="21">
        <f>C18/100*139</f>
        <v>1239.6019999999999</v>
      </c>
      <c r="E18" s="99">
        <f>C18/100*19</f>
        <v>169.44199999999998</v>
      </c>
      <c r="F18" s="22"/>
      <c r="G18" s="22">
        <f>C18/100*7</f>
        <v>62.425999999999995</v>
      </c>
      <c r="H18" s="22"/>
      <c r="I18" s="22"/>
      <c r="J18" s="22">
        <f>C18/100*7</f>
        <v>62.425999999999995</v>
      </c>
      <c r="K18" s="22">
        <f>C18/100*0.9</f>
        <v>8.0261999999999993</v>
      </c>
      <c r="L18" s="116">
        <v>910</v>
      </c>
      <c r="M18" s="61">
        <v>130</v>
      </c>
      <c r="N18" s="20">
        <f t="shared" si="0"/>
        <v>118300</v>
      </c>
      <c r="O18" s="3"/>
    </row>
    <row r="19" spans="1:20" ht="19.899999999999999" customHeight="1" x14ac:dyDescent="0.25">
      <c r="A19" s="8">
        <v>6</v>
      </c>
      <c r="B19" s="65" t="s">
        <v>147</v>
      </c>
      <c r="C19" s="20">
        <f>L19/100*89</f>
        <v>1860.1</v>
      </c>
      <c r="D19" s="21">
        <f>C19/100*154</f>
        <v>2864.5540000000001</v>
      </c>
      <c r="E19" s="99">
        <f>C19/100*13.1</f>
        <v>243.67309999999998</v>
      </c>
      <c r="F19" s="22"/>
      <c r="G19" s="99">
        <f>C19/100*11.1</f>
        <v>206.47109999999998</v>
      </c>
      <c r="H19" s="22"/>
      <c r="I19" s="22">
        <f>C19/100*0.4</f>
        <v>7.4404000000000003</v>
      </c>
      <c r="J19" s="66">
        <f>C19/100*64</f>
        <v>1190.4639999999999</v>
      </c>
      <c r="K19" s="24">
        <f>C19/100*0.13</f>
        <v>2.4181300000000001</v>
      </c>
      <c r="L19" s="23">
        <v>2090</v>
      </c>
      <c r="M19" s="46">
        <v>82</v>
      </c>
      <c r="N19" s="129">
        <f t="shared" si="0"/>
        <v>171380</v>
      </c>
      <c r="O19" s="3"/>
    </row>
    <row r="20" spans="1:20" ht="19.899999999999999" customHeight="1" x14ac:dyDescent="0.25">
      <c r="A20" s="8">
        <v>7</v>
      </c>
      <c r="B20" s="4" t="s">
        <v>136</v>
      </c>
      <c r="C20" s="20">
        <f>L20/100*100</f>
        <v>90</v>
      </c>
      <c r="D20" s="21">
        <f>C20/100*247</f>
        <v>222.3</v>
      </c>
      <c r="E20" s="25"/>
      <c r="F20" s="25">
        <f>C20/100*17.5</f>
        <v>15.75</v>
      </c>
      <c r="G20" s="25"/>
      <c r="H20" s="25">
        <f>C20/100*1.6</f>
        <v>1.4400000000000002</v>
      </c>
      <c r="I20" s="25">
        <f>C20/100*39.2</f>
        <v>35.28</v>
      </c>
      <c r="J20" s="60"/>
      <c r="K20" s="60"/>
      <c r="L20" s="161">
        <v>90</v>
      </c>
      <c r="M20" s="61">
        <v>50</v>
      </c>
      <c r="N20" s="20">
        <f t="shared" si="0"/>
        <v>4500</v>
      </c>
      <c r="O20" s="3"/>
      <c r="Q20" s="2"/>
      <c r="R20" s="2"/>
      <c r="S20" s="3"/>
      <c r="T20" s="2"/>
    </row>
    <row r="21" spans="1:20" ht="19.899999999999999" customHeight="1" x14ac:dyDescent="0.25">
      <c r="A21" s="8">
        <v>8</v>
      </c>
      <c r="B21" s="4" t="s">
        <v>20</v>
      </c>
      <c r="C21" s="20">
        <f>L21/100*95</f>
        <v>855</v>
      </c>
      <c r="D21" s="21">
        <f>C21/100*20</f>
        <v>171</v>
      </c>
      <c r="E21" s="22"/>
      <c r="F21" s="22">
        <f>C21/100*0.6</f>
        <v>5.13</v>
      </c>
      <c r="G21" s="22"/>
      <c r="H21" s="22">
        <f>C21/100*0.2</f>
        <v>1.7100000000000002</v>
      </c>
      <c r="I21" s="22">
        <f>C21/100*4</f>
        <v>34.200000000000003</v>
      </c>
      <c r="J21" s="24">
        <f>C21/100*12</f>
        <v>102.60000000000001</v>
      </c>
      <c r="K21" s="21">
        <f>C21/100*0.04</f>
        <v>0.34200000000000003</v>
      </c>
      <c r="L21" s="116">
        <v>900</v>
      </c>
      <c r="M21" s="63">
        <v>40</v>
      </c>
      <c r="N21" s="20">
        <f t="shared" si="0"/>
        <v>36000</v>
      </c>
      <c r="O21" s="15"/>
      <c r="Q21" s="2"/>
      <c r="R21" s="2"/>
      <c r="S21" s="3"/>
    </row>
    <row r="22" spans="1:20" ht="19.899999999999999" customHeight="1" x14ac:dyDescent="0.25">
      <c r="A22" s="8">
        <v>9</v>
      </c>
      <c r="B22" s="127" t="s">
        <v>176</v>
      </c>
      <c r="C22" s="20">
        <f>L22/100*90</f>
        <v>1233</v>
      </c>
      <c r="D22" s="21">
        <f>C22/100*29</f>
        <v>357.57</v>
      </c>
      <c r="E22" s="22"/>
      <c r="F22" s="22">
        <f>C22/100*1.8</f>
        <v>22.193999999999999</v>
      </c>
      <c r="G22" s="22"/>
      <c r="H22" s="22">
        <f>C22/100*0.1</f>
        <v>1.2330000000000001</v>
      </c>
      <c r="I22" s="22">
        <f>C22/100*5.3</f>
        <v>65.349000000000004</v>
      </c>
      <c r="J22" s="99">
        <f>C22/100*48</f>
        <v>591.84</v>
      </c>
      <c r="K22" s="22">
        <f>C22/100*0.05</f>
        <v>0.61650000000000005</v>
      </c>
      <c r="L22" s="116">
        <v>1370</v>
      </c>
      <c r="M22" s="61">
        <v>15</v>
      </c>
      <c r="N22" s="20">
        <f t="shared" si="0"/>
        <v>20550</v>
      </c>
      <c r="O22" s="3"/>
    </row>
    <row r="23" spans="1:20" ht="19.899999999999999" customHeight="1" x14ac:dyDescent="0.25">
      <c r="A23" s="8">
        <v>10</v>
      </c>
      <c r="B23" s="4" t="s">
        <v>131</v>
      </c>
      <c r="C23" s="20">
        <f>L23/100*75</f>
        <v>2377.5</v>
      </c>
      <c r="D23" s="21">
        <f>C23/100*17</f>
        <v>404.17499999999995</v>
      </c>
      <c r="E23" s="22"/>
      <c r="F23" s="22">
        <f>C23/100*1.4</f>
        <v>33.284999999999997</v>
      </c>
      <c r="G23" s="22"/>
      <c r="H23" s="22">
        <f>C23/100*0.2</f>
        <v>4.7549999999999999</v>
      </c>
      <c r="I23" s="22">
        <f>C23/100*2.4</f>
        <v>57.059999999999995</v>
      </c>
      <c r="J23" s="22">
        <f>C23/100*50</f>
        <v>1188.75</v>
      </c>
      <c r="K23" s="22">
        <f>C23/100*0.09</f>
        <v>2.1397499999999998</v>
      </c>
      <c r="L23" s="116">
        <v>3170</v>
      </c>
      <c r="M23" s="61">
        <v>18</v>
      </c>
      <c r="N23" s="20">
        <f t="shared" si="0"/>
        <v>57060</v>
      </c>
      <c r="O23" s="3"/>
    </row>
    <row r="24" spans="1:20" ht="19.899999999999999" customHeight="1" x14ac:dyDescent="0.25">
      <c r="A24" s="8">
        <v>11</v>
      </c>
      <c r="B24" s="5" t="s">
        <v>123</v>
      </c>
      <c r="C24" s="20"/>
      <c r="D24" s="21"/>
      <c r="E24" s="22"/>
      <c r="F24" s="22"/>
      <c r="G24" s="22"/>
      <c r="H24" s="22"/>
      <c r="I24" s="22"/>
      <c r="J24" s="24"/>
      <c r="K24" s="24"/>
      <c r="L24" s="23"/>
      <c r="M24" s="23"/>
      <c r="N24" s="20">
        <v>6750</v>
      </c>
      <c r="O24" s="3"/>
    </row>
    <row r="25" spans="1:20" ht="19.899999999999999" customHeight="1" x14ac:dyDescent="0.25">
      <c r="A25" s="18" t="s">
        <v>105</v>
      </c>
      <c r="B25" s="19"/>
      <c r="C25" s="29"/>
      <c r="D25" s="101">
        <f>SUM(D14:D24)</f>
        <v>40336.142000000014</v>
      </c>
      <c r="E25" s="31"/>
      <c r="F25" s="31"/>
      <c r="G25" s="31"/>
      <c r="H25" s="31"/>
      <c r="I25" s="31"/>
      <c r="J25" s="31"/>
      <c r="K25" s="31"/>
      <c r="L25" s="32"/>
      <c r="M25" s="401"/>
      <c r="N25" s="277">
        <f>SUM(N14:N24)</f>
        <v>946230</v>
      </c>
      <c r="O25" s="3"/>
    </row>
    <row r="26" spans="1:20" ht="19.899999999999999" customHeight="1" x14ac:dyDescent="0.25">
      <c r="A26" s="18" t="s">
        <v>6</v>
      </c>
      <c r="B26" s="19"/>
      <c r="C26" s="29"/>
      <c r="D26" s="30">
        <f>D25/D8</f>
        <v>443.25430769230786</v>
      </c>
      <c r="E26" s="31"/>
      <c r="F26" s="31"/>
      <c r="G26" s="31"/>
      <c r="H26" s="31"/>
      <c r="I26" s="31"/>
      <c r="J26" s="31"/>
      <c r="K26" s="31"/>
      <c r="L26" s="32"/>
      <c r="M26" s="402"/>
      <c r="N26" s="278"/>
      <c r="O26" s="3"/>
    </row>
    <row r="27" spans="1:20" ht="19.899999999999999" customHeight="1" x14ac:dyDescent="0.25">
      <c r="A27" s="380" t="s">
        <v>51</v>
      </c>
      <c r="B27" s="542"/>
      <c r="C27" s="173" t="s">
        <v>151</v>
      </c>
      <c r="D27" s="17" t="s">
        <v>45</v>
      </c>
      <c r="E27" s="31"/>
      <c r="F27" s="31"/>
      <c r="G27" s="31"/>
      <c r="H27" s="31"/>
      <c r="I27" s="31"/>
      <c r="J27" s="31"/>
      <c r="K27" s="31"/>
      <c r="L27" s="32"/>
      <c r="M27" s="32"/>
      <c r="N27" s="33"/>
      <c r="O27" s="3"/>
    </row>
    <row r="28" spans="1:20" ht="19.899999999999999" customHeight="1" x14ac:dyDescent="0.25">
      <c r="A28" s="543"/>
      <c r="B28" s="544"/>
      <c r="C28" s="62" t="s">
        <v>60</v>
      </c>
      <c r="D28" s="17">
        <f>D26*100/1320</f>
        <v>33.579871794871806</v>
      </c>
      <c r="E28" s="31"/>
      <c r="F28" s="31"/>
      <c r="G28" s="31"/>
      <c r="H28" s="31"/>
      <c r="I28" s="31"/>
      <c r="J28" s="31"/>
      <c r="K28" s="31"/>
      <c r="L28" s="32"/>
      <c r="M28" s="32"/>
      <c r="N28" s="33"/>
      <c r="O28" s="3"/>
    </row>
    <row r="29" spans="1:20" ht="19.899999999999999" customHeight="1" x14ac:dyDescent="0.3">
      <c r="A29" s="316" t="s">
        <v>35</v>
      </c>
      <c r="B29" s="316"/>
      <c r="C29" s="47"/>
      <c r="D29" s="48"/>
      <c r="E29" s="49"/>
      <c r="F29" s="49"/>
      <c r="G29" s="49"/>
      <c r="H29" s="49"/>
      <c r="I29" s="49"/>
      <c r="J29" s="49"/>
      <c r="K29" s="49"/>
      <c r="L29" s="50"/>
      <c r="M29" s="50"/>
      <c r="N29" s="58"/>
      <c r="O29" s="3"/>
    </row>
    <row r="30" spans="1:20" ht="19.899999999999999" customHeight="1" x14ac:dyDescent="0.25">
      <c r="A30" s="8">
        <v>1</v>
      </c>
      <c r="B30" s="9" t="s">
        <v>2</v>
      </c>
      <c r="C30" s="20">
        <f t="shared" ref="C30:C36" si="1">L30/100*100</f>
        <v>110.00000000000001</v>
      </c>
      <c r="D30" s="21">
        <f>C30/100*60</f>
        <v>66</v>
      </c>
      <c r="E30" s="22">
        <f>C30/100*15</f>
        <v>16.5</v>
      </c>
      <c r="F30" s="22"/>
      <c r="G30" s="22"/>
      <c r="H30" s="22"/>
      <c r="I30" s="22"/>
      <c r="J30" s="24">
        <f>C30/100*387</f>
        <v>425.70000000000005</v>
      </c>
      <c r="K30" s="24">
        <f>C30/100*0.09</f>
        <v>9.9000000000000005E-2</v>
      </c>
      <c r="L30" s="116">
        <v>110</v>
      </c>
      <c r="M30" s="61">
        <v>20</v>
      </c>
      <c r="N30" s="20">
        <f>L30*M30</f>
        <v>2200</v>
      </c>
      <c r="O30" s="3"/>
    </row>
    <row r="31" spans="1:20" ht="19.899999999999999" customHeight="1" x14ac:dyDescent="0.25">
      <c r="A31" s="8">
        <v>2</v>
      </c>
      <c r="B31" s="124" t="s">
        <v>141</v>
      </c>
      <c r="C31" s="20">
        <f t="shared" si="1"/>
        <v>459.99999999999994</v>
      </c>
      <c r="D31" s="21">
        <f>C31/100*899</f>
        <v>4135.3999999999996</v>
      </c>
      <c r="E31" s="22"/>
      <c r="F31" s="22"/>
      <c r="G31" s="99">
        <f>C31/100*100</f>
        <v>459.99999999999994</v>
      </c>
      <c r="H31" s="22"/>
      <c r="I31" s="22"/>
      <c r="J31" s="22"/>
      <c r="K31" s="22"/>
      <c r="L31" s="116">
        <v>460</v>
      </c>
      <c r="M31" s="122">
        <v>68</v>
      </c>
      <c r="N31" s="20">
        <f t="shared" ref="N31:N40" si="2">L31*M31</f>
        <v>31280</v>
      </c>
      <c r="O31" s="160"/>
    </row>
    <row r="32" spans="1:20" ht="19.899999999999999" customHeight="1" x14ac:dyDescent="0.25">
      <c r="A32" s="8">
        <v>3</v>
      </c>
      <c r="B32" s="126" t="s">
        <v>146</v>
      </c>
      <c r="C32" s="20">
        <f>L32/100*100</f>
        <v>140</v>
      </c>
      <c r="D32" s="100">
        <f>C32/100*900</f>
        <v>1260</v>
      </c>
      <c r="E32" s="22"/>
      <c r="F32" s="22"/>
      <c r="G32" s="99"/>
      <c r="H32" s="99">
        <f>C32/100*100</f>
        <v>140</v>
      </c>
      <c r="I32" s="22"/>
      <c r="J32" s="22"/>
      <c r="K32" s="22"/>
      <c r="L32" s="116">
        <v>140</v>
      </c>
      <c r="M32" s="61">
        <v>63.5</v>
      </c>
      <c r="N32" s="20">
        <f t="shared" si="2"/>
        <v>8890</v>
      </c>
      <c r="O32" s="160"/>
    </row>
    <row r="33" spans="1:20" ht="19.899999999999999" customHeight="1" x14ac:dyDescent="0.25">
      <c r="A33" s="8">
        <v>4</v>
      </c>
      <c r="B33" s="4" t="s">
        <v>1</v>
      </c>
      <c r="C33" s="20">
        <f t="shared" si="1"/>
        <v>1365</v>
      </c>
      <c r="D33" s="21">
        <f>C33/100*330.1</f>
        <v>4505.8650000000007</v>
      </c>
      <c r="E33" s="22"/>
      <c r="F33" s="99">
        <f>C33/100*7.9</f>
        <v>107.83500000000001</v>
      </c>
      <c r="G33" s="22"/>
      <c r="H33" s="22">
        <f>C33/100*1</f>
        <v>13.65</v>
      </c>
      <c r="I33" s="22">
        <f>C33/100*70.1</f>
        <v>956.8649999999999</v>
      </c>
      <c r="J33" s="24">
        <f>C33/100*30</f>
        <v>409.5</v>
      </c>
      <c r="K33" s="24">
        <f>C33/100*0.1</f>
        <v>1.3650000000000002</v>
      </c>
      <c r="L33" s="116">
        <v>1365</v>
      </c>
      <c r="M33" s="61">
        <v>18</v>
      </c>
      <c r="N33" s="20">
        <f t="shared" si="2"/>
        <v>24570</v>
      </c>
      <c r="O33" s="3"/>
    </row>
    <row r="34" spans="1:20" ht="19.899999999999999" customHeight="1" x14ac:dyDescent="0.25">
      <c r="A34" s="8">
        <v>5</v>
      </c>
      <c r="B34" s="4" t="s">
        <v>73</v>
      </c>
      <c r="C34" s="20">
        <f t="shared" si="1"/>
        <v>910</v>
      </c>
      <c r="D34" s="21">
        <f>C34/100*344</f>
        <v>3130.4</v>
      </c>
      <c r="E34" s="22"/>
      <c r="F34" s="22">
        <f>C34/100*8.6</f>
        <v>78.259999999999991</v>
      </c>
      <c r="G34" s="22"/>
      <c r="H34" s="22">
        <f>C34/100*1.5</f>
        <v>13.649999999999999</v>
      </c>
      <c r="I34" s="22">
        <f>C34/100*74.5</f>
        <v>677.94999999999993</v>
      </c>
      <c r="J34" s="22">
        <f>C34/100*32</f>
        <v>291.2</v>
      </c>
      <c r="K34" s="22">
        <f>C34/100*0.14</f>
        <v>1.274</v>
      </c>
      <c r="L34" s="116">
        <v>910</v>
      </c>
      <c r="M34" s="61">
        <v>30</v>
      </c>
      <c r="N34" s="20">
        <f t="shared" si="2"/>
        <v>27300</v>
      </c>
      <c r="O34" s="3"/>
      <c r="P34" s="15"/>
    </row>
    <row r="35" spans="1:20" ht="19.899999999999999" customHeight="1" x14ac:dyDescent="0.25">
      <c r="A35" s="8">
        <v>6</v>
      </c>
      <c r="B35" s="4" t="s">
        <v>67</v>
      </c>
      <c r="C35" s="20">
        <f t="shared" si="1"/>
        <v>180</v>
      </c>
      <c r="D35" s="21">
        <f>C35/100*334</f>
        <v>601.20000000000005</v>
      </c>
      <c r="E35" s="22"/>
      <c r="F35" s="22">
        <f>C35/100*20</f>
        <v>36</v>
      </c>
      <c r="G35" s="22"/>
      <c r="H35" s="22">
        <f>C35/100*2.4</f>
        <v>4.32</v>
      </c>
      <c r="I35" s="22">
        <f>C35/100*58</f>
        <v>104.4</v>
      </c>
      <c r="J35" s="24">
        <f>C35/100*89</f>
        <v>160.20000000000002</v>
      </c>
      <c r="K35" s="24">
        <f>C35/100*0.64</f>
        <v>1.1520000000000001</v>
      </c>
      <c r="L35" s="116">
        <v>180</v>
      </c>
      <c r="M35" s="61">
        <v>190</v>
      </c>
      <c r="N35" s="20">
        <f>L35*M35</f>
        <v>34200</v>
      </c>
      <c r="O35" s="3"/>
    </row>
    <row r="36" spans="1:20" ht="19.899999999999999" customHeight="1" x14ac:dyDescent="0.25">
      <c r="A36" s="8">
        <v>7</v>
      </c>
      <c r="B36" s="4" t="s">
        <v>136</v>
      </c>
      <c r="C36" s="20">
        <f t="shared" si="1"/>
        <v>60</v>
      </c>
      <c r="D36" s="21">
        <f>C36/100*247</f>
        <v>148.19999999999999</v>
      </c>
      <c r="E36" s="25"/>
      <c r="F36" s="25">
        <f>C36/100*17.5</f>
        <v>10.5</v>
      </c>
      <c r="G36" s="25"/>
      <c r="H36" s="25">
        <f>C36/100*1.6</f>
        <v>0.96</v>
      </c>
      <c r="I36" s="25">
        <f>C36/100*39.2</f>
        <v>23.52</v>
      </c>
      <c r="J36" s="60"/>
      <c r="K36" s="60"/>
      <c r="L36" s="161">
        <v>60</v>
      </c>
      <c r="M36" s="61">
        <v>50</v>
      </c>
      <c r="N36" s="20">
        <f t="shared" ref="N36:N39" si="3">L36*M36</f>
        <v>3000</v>
      </c>
      <c r="O36" s="3"/>
      <c r="Q36" s="2"/>
      <c r="R36" s="2"/>
      <c r="S36" s="3"/>
      <c r="T36" s="2"/>
    </row>
    <row r="37" spans="1:20" ht="19.899999999999999" customHeight="1" x14ac:dyDescent="0.25">
      <c r="A37" s="8">
        <v>8</v>
      </c>
      <c r="B37" s="4" t="s">
        <v>4</v>
      </c>
      <c r="C37" s="20">
        <f>L37/100*98.5</f>
        <v>1349.4499999999998</v>
      </c>
      <c r="D37" s="21">
        <f>C37/100*39</f>
        <v>526.28549999999996</v>
      </c>
      <c r="E37" s="25"/>
      <c r="F37" s="25">
        <f>C37/100*1.5</f>
        <v>20.241749999999996</v>
      </c>
      <c r="G37" s="25"/>
      <c r="H37" s="25">
        <f>C37/100*0.2</f>
        <v>2.6989000000000001</v>
      </c>
      <c r="I37" s="25">
        <f>C37/100*7.8</f>
        <v>105.25709999999998</v>
      </c>
      <c r="J37" s="25">
        <f>C37/100*43</f>
        <v>580.26349999999991</v>
      </c>
      <c r="K37" s="25">
        <f>C37/100*0.06</f>
        <v>0.80966999999999989</v>
      </c>
      <c r="L37" s="161">
        <v>1370</v>
      </c>
      <c r="M37" s="23">
        <v>17</v>
      </c>
      <c r="N37" s="114">
        <f t="shared" si="3"/>
        <v>23290</v>
      </c>
      <c r="O37" s="3"/>
      <c r="Q37" s="2"/>
      <c r="R37" s="2"/>
      <c r="S37" s="3"/>
    </row>
    <row r="38" spans="1:20" ht="19.899999999999999" customHeight="1" x14ac:dyDescent="0.25">
      <c r="A38" s="8">
        <v>8</v>
      </c>
      <c r="B38" s="9" t="s">
        <v>3</v>
      </c>
      <c r="C38" s="20">
        <f>L38/100*98</f>
        <v>1068.2</v>
      </c>
      <c r="D38" s="21">
        <f>C38/100*118</f>
        <v>1260.4760000000001</v>
      </c>
      <c r="E38" s="99">
        <f>C38/100*21</f>
        <v>224.322</v>
      </c>
      <c r="F38" s="22"/>
      <c r="G38" s="22">
        <f>C38/100*3.8</f>
        <v>40.5916</v>
      </c>
      <c r="H38" s="22"/>
      <c r="I38" s="22"/>
      <c r="J38" s="22">
        <f>C38/100*12</f>
        <v>128.184</v>
      </c>
      <c r="K38" s="22">
        <f>C38/100*0.1</f>
        <v>1.0682</v>
      </c>
      <c r="L38" s="116">
        <v>1090</v>
      </c>
      <c r="M38" s="121">
        <v>250</v>
      </c>
      <c r="N38" s="114">
        <f t="shared" si="3"/>
        <v>272500</v>
      </c>
      <c r="O38" s="3"/>
    </row>
    <row r="39" spans="1:20" ht="19.899999999999999" customHeight="1" x14ac:dyDescent="0.25">
      <c r="A39" s="8">
        <v>9</v>
      </c>
      <c r="B39" s="4" t="s">
        <v>69</v>
      </c>
      <c r="C39" s="20">
        <f>L39/100*48</f>
        <v>1257.5999999999999</v>
      </c>
      <c r="D39" s="21">
        <f>C39/100*199</f>
        <v>2502.6239999999998</v>
      </c>
      <c r="E39" s="99">
        <f>C39/100*20.3</f>
        <v>255.29279999999997</v>
      </c>
      <c r="F39" s="99"/>
      <c r="G39" s="99">
        <f>C39/100*13.1</f>
        <v>164.74559999999997</v>
      </c>
      <c r="H39" s="99"/>
      <c r="I39" s="22"/>
      <c r="J39" s="24">
        <f>C39/100*12</f>
        <v>150.91199999999998</v>
      </c>
      <c r="K39" s="24">
        <f>C39/100*0.15</f>
        <v>1.8863999999999996</v>
      </c>
      <c r="L39" s="116">
        <v>2620</v>
      </c>
      <c r="M39" s="116">
        <v>84</v>
      </c>
      <c r="N39" s="20">
        <f t="shared" si="3"/>
        <v>220080</v>
      </c>
      <c r="O39" s="3"/>
      <c r="Q39" s="2"/>
      <c r="R39" s="2"/>
      <c r="S39" s="3"/>
    </row>
    <row r="40" spans="1:20" ht="19.899999999999999" customHeight="1" x14ac:dyDescent="0.25">
      <c r="A40" s="8">
        <v>10</v>
      </c>
      <c r="B40" s="130" t="s">
        <v>149</v>
      </c>
      <c r="C40" s="20">
        <f>L40/100*100</f>
        <v>1550</v>
      </c>
      <c r="D40" s="21">
        <f>C40/100*487</f>
        <v>7548.5</v>
      </c>
      <c r="E40" s="25"/>
      <c r="F40" s="143">
        <f>C40/100*19.5</f>
        <v>302.25</v>
      </c>
      <c r="G40" s="143"/>
      <c r="H40" s="143">
        <f>C40/100*23.2</f>
        <v>359.59999999999997</v>
      </c>
      <c r="I40" s="25">
        <f>C40/100*46</f>
        <v>713</v>
      </c>
      <c r="J40" s="99">
        <f>C40/100*680</f>
        <v>10540</v>
      </c>
      <c r="K40" s="22">
        <f>C40/100*0.55</f>
        <v>8.5250000000000004</v>
      </c>
      <c r="L40" s="26">
        <v>1550</v>
      </c>
      <c r="M40" s="121">
        <v>260</v>
      </c>
      <c r="N40" s="20">
        <f t="shared" si="2"/>
        <v>403000</v>
      </c>
      <c r="O40" s="3"/>
      <c r="P40" s="2"/>
    </row>
    <row r="41" spans="1:20" ht="19.899999999999999" customHeight="1" x14ac:dyDescent="0.25">
      <c r="A41" s="86">
        <v>11</v>
      </c>
      <c r="B41" s="93" t="s">
        <v>123</v>
      </c>
      <c r="C41" s="87"/>
      <c r="D41" s="88"/>
      <c r="E41" s="89"/>
      <c r="F41" s="89"/>
      <c r="G41" s="89"/>
      <c r="H41" s="89"/>
      <c r="I41" s="89"/>
      <c r="J41" s="94"/>
      <c r="K41" s="94"/>
      <c r="L41" s="90"/>
      <c r="M41" s="90"/>
      <c r="N41" s="87">
        <v>5650</v>
      </c>
      <c r="O41" s="3"/>
      <c r="P41" s="3"/>
    </row>
    <row r="42" spans="1:20" ht="21" customHeight="1" x14ac:dyDescent="0.25">
      <c r="A42" s="293" t="s">
        <v>0</v>
      </c>
      <c r="B42" s="296" t="s">
        <v>19</v>
      </c>
      <c r="C42" s="566" t="s">
        <v>8</v>
      </c>
      <c r="D42" s="296" t="s">
        <v>9</v>
      </c>
      <c r="E42" s="299" t="s">
        <v>11</v>
      </c>
      <c r="F42" s="300"/>
      <c r="G42" s="299" t="s">
        <v>13</v>
      </c>
      <c r="H42" s="300"/>
      <c r="I42" s="293" t="s">
        <v>16</v>
      </c>
      <c r="J42" s="293" t="s">
        <v>41</v>
      </c>
      <c r="K42" s="293" t="s">
        <v>42</v>
      </c>
      <c r="L42" s="293" t="s">
        <v>17</v>
      </c>
      <c r="M42" s="293" t="s">
        <v>57</v>
      </c>
      <c r="N42" s="293" t="s">
        <v>18</v>
      </c>
      <c r="O42" s="158"/>
    </row>
    <row r="43" spans="1:20" ht="21" customHeight="1" x14ac:dyDescent="0.25">
      <c r="A43" s="294"/>
      <c r="B43" s="297"/>
      <c r="C43" s="567"/>
      <c r="D43" s="297"/>
      <c r="E43" s="301"/>
      <c r="F43" s="302"/>
      <c r="G43" s="301"/>
      <c r="H43" s="302"/>
      <c r="I43" s="303"/>
      <c r="J43" s="303"/>
      <c r="K43" s="303"/>
      <c r="L43" s="303"/>
      <c r="M43" s="303"/>
      <c r="N43" s="294"/>
      <c r="O43" s="149"/>
    </row>
    <row r="44" spans="1:20" ht="21" customHeight="1" x14ac:dyDescent="0.25">
      <c r="A44" s="294"/>
      <c r="B44" s="297"/>
      <c r="C44" s="567"/>
      <c r="D44" s="297"/>
      <c r="E44" s="293" t="s">
        <v>10</v>
      </c>
      <c r="F44" s="293" t="s">
        <v>12</v>
      </c>
      <c r="G44" s="293" t="s">
        <v>14</v>
      </c>
      <c r="H44" s="293" t="s">
        <v>15</v>
      </c>
      <c r="I44" s="303"/>
      <c r="J44" s="303"/>
      <c r="K44" s="303"/>
      <c r="L44" s="303"/>
      <c r="M44" s="303"/>
      <c r="N44" s="294"/>
      <c r="O44" s="149"/>
    </row>
    <row r="45" spans="1:20" ht="21" customHeight="1" x14ac:dyDescent="0.25">
      <c r="A45" s="295"/>
      <c r="B45" s="298"/>
      <c r="C45" s="568"/>
      <c r="D45" s="298"/>
      <c r="E45" s="304"/>
      <c r="F45" s="304"/>
      <c r="G45" s="304"/>
      <c r="H45" s="304"/>
      <c r="I45" s="304"/>
      <c r="J45" s="304"/>
      <c r="K45" s="304"/>
      <c r="L45" s="304"/>
      <c r="M45" s="304"/>
      <c r="N45" s="295"/>
      <c r="O45" s="149"/>
    </row>
    <row r="46" spans="1:20" ht="21" customHeight="1" x14ac:dyDescent="0.25">
      <c r="A46" s="18" t="s">
        <v>106</v>
      </c>
      <c r="B46" s="19"/>
      <c r="C46" s="29"/>
      <c r="D46" s="101">
        <f>SUM(D30:D41)</f>
        <v>25684.950499999999</v>
      </c>
      <c r="E46" s="6"/>
      <c r="F46" s="6"/>
      <c r="G46" s="6"/>
      <c r="H46" s="6"/>
      <c r="I46" s="6"/>
      <c r="J46" s="6"/>
      <c r="K46" s="6"/>
      <c r="L46" s="37"/>
      <c r="M46" s="398"/>
      <c r="N46" s="569">
        <f>SUM(N30:N41)</f>
        <v>1055960</v>
      </c>
      <c r="O46" s="3"/>
    </row>
    <row r="47" spans="1:20" ht="21" customHeight="1" x14ac:dyDescent="0.25">
      <c r="A47" s="18" t="s">
        <v>7</v>
      </c>
      <c r="B47" s="19"/>
      <c r="C47" s="38"/>
      <c r="D47" s="39">
        <f>D46/D8</f>
        <v>282.25220329670327</v>
      </c>
      <c r="E47" s="39"/>
      <c r="F47" s="39"/>
      <c r="G47" s="39"/>
      <c r="H47" s="39"/>
      <c r="I47" s="39"/>
      <c r="J47" s="39"/>
      <c r="K47" s="39"/>
      <c r="L47" s="37"/>
      <c r="M47" s="399"/>
      <c r="N47" s="570"/>
      <c r="O47" s="3"/>
    </row>
    <row r="48" spans="1:20" ht="21" customHeight="1" x14ac:dyDescent="0.25">
      <c r="A48" s="380" t="s">
        <v>52</v>
      </c>
      <c r="B48" s="306"/>
      <c r="C48" s="173" t="s">
        <v>151</v>
      </c>
      <c r="D48" s="17" t="s">
        <v>58</v>
      </c>
      <c r="E48" s="39"/>
      <c r="F48" s="39"/>
      <c r="G48" s="39"/>
      <c r="H48" s="39"/>
      <c r="I48" s="39"/>
      <c r="J48" s="40"/>
      <c r="K48" s="40"/>
      <c r="L48" s="37"/>
      <c r="M48" s="37"/>
      <c r="N48" s="150"/>
      <c r="O48" s="3"/>
    </row>
    <row r="49" spans="1:22" ht="21" customHeight="1" x14ac:dyDescent="0.25">
      <c r="A49" s="307"/>
      <c r="B49" s="308"/>
      <c r="C49" s="62" t="s">
        <v>60</v>
      </c>
      <c r="D49" s="17">
        <f>D47*100/1320</f>
        <v>21.38274267399267</v>
      </c>
      <c r="E49" s="39"/>
      <c r="F49" s="39"/>
      <c r="G49" s="39"/>
      <c r="H49" s="39"/>
      <c r="I49" s="39"/>
      <c r="J49" s="40"/>
      <c r="K49" s="40"/>
      <c r="L49" s="37"/>
      <c r="M49" s="37"/>
      <c r="N49" s="150"/>
      <c r="O49" s="3"/>
    </row>
    <row r="50" spans="1:22" ht="21" customHeight="1" x14ac:dyDescent="0.25">
      <c r="A50" s="371" t="s">
        <v>107</v>
      </c>
      <c r="B50" s="372"/>
      <c r="C50" s="375"/>
      <c r="D50" s="393">
        <f>D25+D46</f>
        <v>66021.092500000013</v>
      </c>
      <c r="E50" s="103">
        <f>SUM(E14:E41)</f>
        <v>1339.4010999999998</v>
      </c>
      <c r="F50" s="103">
        <f t="shared" ref="F50:H50" si="4">SUM(F14:F41)</f>
        <v>1314.40075</v>
      </c>
      <c r="G50" s="103">
        <f t="shared" si="4"/>
        <v>1470.2166999999999</v>
      </c>
      <c r="H50" s="42">
        <f t="shared" si="4"/>
        <v>630.4668999999999</v>
      </c>
      <c r="I50" s="334">
        <f>SUM(I14:I41)</f>
        <v>8840.4664999999986</v>
      </c>
      <c r="J50" s="334">
        <f>SUM(J14:J41)</f>
        <v>19123.587500000001</v>
      </c>
      <c r="K50" s="367">
        <f>SUM(K14:K41)</f>
        <v>41.520450000000004</v>
      </c>
      <c r="L50" s="352"/>
      <c r="M50" s="352"/>
      <c r="N50" s="395">
        <f>N25+N46</f>
        <v>2002190</v>
      </c>
    </row>
    <row r="51" spans="1:22" ht="21" customHeight="1" x14ac:dyDescent="0.25">
      <c r="A51" s="373"/>
      <c r="B51" s="374"/>
      <c r="C51" s="376"/>
      <c r="D51" s="394"/>
      <c r="E51" s="564">
        <f>E50+F50</f>
        <v>2653.8018499999998</v>
      </c>
      <c r="F51" s="565"/>
      <c r="G51" s="365">
        <f>G50+H50</f>
        <v>2100.6835999999998</v>
      </c>
      <c r="H51" s="366"/>
      <c r="I51" s="336"/>
      <c r="J51" s="336"/>
      <c r="K51" s="368"/>
      <c r="L51" s="352"/>
      <c r="M51" s="352"/>
      <c r="N51" s="395"/>
    </row>
    <row r="52" spans="1:22" ht="21" customHeight="1" x14ac:dyDescent="0.25">
      <c r="A52" s="326" t="s">
        <v>77</v>
      </c>
      <c r="B52" s="327"/>
      <c r="C52" s="328"/>
      <c r="D52" s="112">
        <f>D50/D8</f>
        <v>725.50651098901119</v>
      </c>
      <c r="E52" s="165">
        <f>E50/D8</f>
        <v>14.718693406593404</v>
      </c>
      <c r="F52" s="178">
        <f>F50/D8</f>
        <v>14.443964285714285</v>
      </c>
      <c r="G52" s="165">
        <f>G50/D8</f>
        <v>16.156227472527473</v>
      </c>
      <c r="H52" s="178">
        <f>H50/D8</f>
        <v>6.9282076923076907</v>
      </c>
      <c r="I52" s="344">
        <f>I50/D8</f>
        <v>97.147983516483507</v>
      </c>
      <c r="J52" s="344">
        <f>J50/D8</f>
        <v>210.1493131868132</v>
      </c>
      <c r="K52" s="347">
        <f>K50/D8</f>
        <v>0.45626868131868137</v>
      </c>
      <c r="L52" s="352"/>
      <c r="M52" s="352"/>
      <c r="N52" s="395"/>
      <c r="P52" s="119"/>
      <c r="Q52" s="333"/>
      <c r="R52" s="333"/>
      <c r="S52" s="333"/>
      <c r="T52" s="333"/>
      <c r="U52" s="346"/>
      <c r="V52" s="346"/>
    </row>
    <row r="53" spans="1:22" ht="21" customHeight="1" x14ac:dyDescent="0.25">
      <c r="A53" s="329"/>
      <c r="B53" s="330"/>
      <c r="C53" s="331"/>
      <c r="D53" s="107"/>
      <c r="E53" s="369">
        <f>E52+F52</f>
        <v>29.16265769230769</v>
      </c>
      <c r="F53" s="370"/>
      <c r="G53" s="369">
        <f>G52+H52</f>
        <v>23.084435164835163</v>
      </c>
      <c r="H53" s="370"/>
      <c r="I53" s="345"/>
      <c r="J53" s="345"/>
      <c r="K53" s="348"/>
      <c r="L53" s="352"/>
      <c r="M53" s="352"/>
      <c r="N53" s="395"/>
      <c r="P53" s="167"/>
      <c r="Q53" s="333"/>
      <c r="R53" s="333"/>
      <c r="S53" s="333"/>
      <c r="T53" s="333"/>
      <c r="U53" s="333"/>
      <c r="V53" s="333"/>
    </row>
    <row r="54" spans="1:22" ht="21" customHeight="1" x14ac:dyDescent="0.25">
      <c r="A54" s="381" t="s">
        <v>80</v>
      </c>
      <c r="B54" s="382"/>
      <c r="C54" s="383"/>
      <c r="D54" s="151" t="s">
        <v>28</v>
      </c>
      <c r="E54" s="279" t="s">
        <v>21</v>
      </c>
      <c r="F54" s="279"/>
      <c r="G54" s="279" t="s">
        <v>22</v>
      </c>
      <c r="H54" s="279"/>
      <c r="I54" s="148" t="s">
        <v>23</v>
      </c>
      <c r="J54" s="148">
        <v>600</v>
      </c>
      <c r="K54" s="148">
        <v>0.7</v>
      </c>
      <c r="L54" s="352"/>
      <c r="M54" s="352"/>
      <c r="N54" s="395"/>
      <c r="O54" s="169"/>
      <c r="P54" s="119"/>
      <c r="Q54" s="119"/>
      <c r="R54" s="119"/>
      <c r="S54" s="119"/>
      <c r="T54" s="119"/>
      <c r="U54" s="119"/>
      <c r="V54" s="119"/>
    </row>
    <row r="55" spans="1:22" ht="21" customHeight="1" x14ac:dyDescent="0.25">
      <c r="A55" s="271" t="s">
        <v>78</v>
      </c>
      <c r="B55" s="332"/>
      <c r="C55" s="272"/>
      <c r="D55" s="41"/>
      <c r="E55" s="359">
        <f>E53*4.1</f>
        <v>119.56689653846152</v>
      </c>
      <c r="F55" s="360"/>
      <c r="G55" s="359">
        <f>G53*9</f>
        <v>207.75991648351646</v>
      </c>
      <c r="H55" s="360"/>
      <c r="I55" s="102">
        <f>I52*4.1</f>
        <v>398.30673241758234</v>
      </c>
      <c r="J55" s="337"/>
      <c r="K55" s="337"/>
      <c r="L55" s="352"/>
      <c r="M55" s="352"/>
      <c r="N55" s="395"/>
      <c r="O55" s="169"/>
      <c r="P55" s="170"/>
      <c r="Q55" s="155"/>
      <c r="R55" s="155"/>
      <c r="S55" s="155"/>
      <c r="T55" s="119"/>
      <c r="U55" s="119"/>
      <c r="V55" s="119"/>
    </row>
    <row r="56" spans="1:22" ht="21" customHeight="1" x14ac:dyDescent="0.25">
      <c r="A56" s="361" t="s">
        <v>81</v>
      </c>
      <c r="B56" s="362"/>
      <c r="C56" s="271" t="s">
        <v>59</v>
      </c>
      <c r="D56" s="272"/>
      <c r="E56" s="273">
        <f>E55*100/D52</f>
        <v>16.480471881012868</v>
      </c>
      <c r="F56" s="274"/>
      <c r="G56" s="273">
        <f>G55*100/D52</f>
        <v>28.636533695651874</v>
      </c>
      <c r="H56" s="274"/>
      <c r="I56" s="95">
        <f>I55*100/D52</f>
        <v>54.900504183568273</v>
      </c>
      <c r="J56" s="338"/>
      <c r="K56" s="338"/>
      <c r="L56" s="352"/>
      <c r="M56" s="352"/>
      <c r="N56" s="395"/>
      <c r="O56" s="169"/>
      <c r="P56" s="119"/>
      <c r="Q56" s="119"/>
      <c r="R56" s="119"/>
      <c r="S56" s="119"/>
      <c r="T56" s="119"/>
      <c r="U56" s="119"/>
      <c r="V56" s="119"/>
    </row>
    <row r="57" spans="1:22" ht="21" customHeight="1" x14ac:dyDescent="0.25">
      <c r="A57" s="363"/>
      <c r="B57" s="364"/>
      <c r="C57" s="271" t="s">
        <v>79</v>
      </c>
      <c r="D57" s="272"/>
      <c r="E57" s="271" t="s">
        <v>82</v>
      </c>
      <c r="F57" s="272"/>
      <c r="G57" s="271" t="s">
        <v>83</v>
      </c>
      <c r="H57" s="272"/>
      <c r="I57" s="151" t="s">
        <v>84</v>
      </c>
      <c r="J57" s="339"/>
      <c r="K57" s="339"/>
      <c r="L57" s="352"/>
      <c r="M57" s="352"/>
      <c r="N57" s="395"/>
      <c r="O57" s="169"/>
      <c r="P57" s="2"/>
    </row>
    <row r="58" spans="1:22" ht="21" customHeight="1" x14ac:dyDescent="0.2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7"/>
      <c r="M58" s="77"/>
      <c r="N58" s="78"/>
      <c r="O58" s="169"/>
    </row>
    <row r="59" spans="1:22" ht="21" customHeight="1" x14ac:dyDescent="0.25">
      <c r="A59" s="265" t="s">
        <v>114</v>
      </c>
      <c r="B59" s="265"/>
      <c r="C59" s="265"/>
      <c r="D59" s="265"/>
      <c r="E59" s="265"/>
      <c r="F59" s="265"/>
      <c r="G59" s="265"/>
      <c r="H59" s="265"/>
      <c r="I59" s="265"/>
      <c r="J59" s="265"/>
      <c r="K59" s="265"/>
      <c r="L59" s="265"/>
      <c r="M59" s="265"/>
      <c r="N59" s="265"/>
      <c r="O59" s="169"/>
    </row>
    <row r="60" spans="1:22" ht="21" customHeight="1" x14ac:dyDescent="0.25">
      <c r="A60" s="97" t="s">
        <v>115</v>
      </c>
      <c r="B60" s="266" t="s">
        <v>116</v>
      </c>
      <c r="C60" s="266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169"/>
    </row>
    <row r="61" spans="1:22" ht="21" customHeight="1" x14ac:dyDescent="0.25">
      <c r="A61" s="98"/>
      <c r="B61" s="267" t="s">
        <v>223</v>
      </c>
      <c r="C61" s="267"/>
      <c r="D61" s="267"/>
      <c r="E61" s="267"/>
      <c r="F61" s="267"/>
      <c r="G61" s="267"/>
      <c r="H61" s="267"/>
      <c r="I61" s="267"/>
      <c r="J61" s="267"/>
      <c r="K61" s="267"/>
      <c r="L61" s="267"/>
      <c r="M61" s="267"/>
      <c r="N61" s="267"/>
      <c r="O61" s="169"/>
    </row>
    <row r="62" spans="1:22" ht="21" customHeight="1" x14ac:dyDescent="0.25">
      <c r="A62" s="98"/>
      <c r="B62" s="267" t="s">
        <v>195</v>
      </c>
      <c r="C62" s="267"/>
      <c r="D62" s="267"/>
      <c r="E62" s="267"/>
      <c r="F62" s="267"/>
      <c r="G62" s="267"/>
      <c r="H62" s="267"/>
      <c r="I62" s="267"/>
      <c r="J62" s="267"/>
      <c r="K62" s="267"/>
      <c r="L62" s="267"/>
      <c r="M62" s="267"/>
      <c r="N62" s="267"/>
      <c r="O62" s="169"/>
    </row>
    <row r="63" spans="1:22" ht="21" customHeight="1" x14ac:dyDescent="0.25">
      <c r="A63" s="98"/>
      <c r="B63" s="267" t="s">
        <v>208</v>
      </c>
      <c r="C63" s="267"/>
      <c r="D63" s="267"/>
      <c r="E63" s="267"/>
      <c r="F63" s="267"/>
      <c r="G63" s="267"/>
      <c r="H63" s="267"/>
      <c r="I63" s="267"/>
      <c r="J63" s="267"/>
      <c r="K63" s="267"/>
      <c r="L63" s="267"/>
      <c r="M63" s="267"/>
      <c r="N63" s="267"/>
      <c r="O63" s="169"/>
    </row>
    <row r="64" spans="1:22" ht="21" customHeight="1" x14ac:dyDescent="0.25">
      <c r="A64" s="73"/>
      <c r="B64" s="268" t="s">
        <v>117</v>
      </c>
      <c r="C64" s="268"/>
      <c r="D64" s="268"/>
      <c r="E64" s="268"/>
      <c r="F64" s="268"/>
      <c r="G64" s="268"/>
      <c r="H64" s="268"/>
      <c r="I64" s="268"/>
      <c r="J64" s="268"/>
      <c r="K64" s="268"/>
      <c r="L64" s="268"/>
      <c r="M64" s="268"/>
      <c r="N64" s="268"/>
      <c r="O64" s="169"/>
    </row>
    <row r="65" spans="1:15" ht="21" customHeight="1" x14ac:dyDescent="0.25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7"/>
      <c r="M65" s="77"/>
      <c r="N65" s="78"/>
      <c r="O65" s="169"/>
    </row>
    <row r="66" spans="1:15" ht="21" customHeight="1" x14ac:dyDescent="0.25">
      <c r="A66" s="269" t="s">
        <v>62</v>
      </c>
      <c r="B66" s="269"/>
      <c r="C66" s="269"/>
      <c r="D66" s="269"/>
      <c r="E66" s="171"/>
      <c r="F66" s="171"/>
      <c r="G66" s="171"/>
      <c r="H66" s="171"/>
      <c r="I66" s="171"/>
      <c r="J66" s="270" t="s">
        <v>33</v>
      </c>
      <c r="K66" s="270"/>
      <c r="L66" s="270"/>
      <c r="M66" s="270"/>
      <c r="N66" s="270"/>
      <c r="O66" s="169"/>
    </row>
    <row r="67" spans="1:15" ht="21" customHeight="1" x14ac:dyDescent="0.25">
      <c r="A67" s="149"/>
      <c r="B67" s="149"/>
      <c r="C67" s="149"/>
      <c r="D67" s="171"/>
      <c r="E67" s="171"/>
      <c r="F67" s="171"/>
      <c r="G67" s="171"/>
      <c r="H67" s="172"/>
      <c r="I67" s="172"/>
      <c r="J67" s="172"/>
      <c r="K67" s="172"/>
      <c r="L67" s="172"/>
      <c r="M67" s="172"/>
      <c r="N67" s="172"/>
      <c r="O67" s="169"/>
    </row>
    <row r="68" spans="1:15" ht="21" customHeight="1" x14ac:dyDescent="0.25">
      <c r="A68" s="149"/>
      <c r="B68" s="149"/>
      <c r="C68" s="149"/>
      <c r="D68" s="171"/>
      <c r="E68" s="171"/>
      <c r="F68" s="171"/>
      <c r="G68" s="171"/>
      <c r="H68" s="172"/>
      <c r="I68" s="172"/>
      <c r="J68" s="172"/>
      <c r="K68" s="172"/>
      <c r="L68" s="172"/>
      <c r="M68" s="172"/>
      <c r="N68" s="172"/>
      <c r="O68" s="169"/>
    </row>
    <row r="69" spans="1:15" ht="21" customHeight="1" x14ac:dyDescent="0.25">
      <c r="A69" s="149"/>
      <c r="B69" s="149"/>
      <c r="C69" s="149"/>
      <c r="D69" s="171"/>
      <c r="E69" s="171"/>
      <c r="F69" s="171"/>
      <c r="G69" s="171"/>
      <c r="H69" s="172"/>
      <c r="I69" s="172"/>
      <c r="J69" s="261" t="s">
        <v>124</v>
      </c>
      <c r="K69" s="261"/>
      <c r="L69" s="261"/>
      <c r="M69" s="261"/>
      <c r="N69" s="261"/>
      <c r="O69" s="169"/>
    </row>
    <row r="70" spans="1:15" ht="21" customHeight="1" x14ac:dyDescent="0.25">
      <c r="A70" s="260" t="s">
        <v>91</v>
      </c>
      <c r="B70" s="260"/>
      <c r="C70" s="260"/>
      <c r="D70" s="260"/>
      <c r="E70" s="171"/>
      <c r="F70" s="171"/>
      <c r="G70" s="171"/>
      <c r="H70" s="172"/>
      <c r="I70" s="172"/>
      <c r="O70" s="169"/>
    </row>
    <row r="71" spans="1:15" ht="21" customHeight="1" x14ac:dyDescent="0.25">
      <c r="A71" s="149"/>
      <c r="B71" s="149"/>
      <c r="C71" s="149"/>
      <c r="D71" s="171"/>
      <c r="E71" s="171"/>
      <c r="F71" s="171"/>
      <c r="G71" s="171"/>
      <c r="H71" s="172"/>
      <c r="I71" s="172"/>
      <c r="J71" s="172"/>
      <c r="K71" s="172"/>
      <c r="L71" s="172"/>
      <c r="M71" s="172"/>
      <c r="N71" s="172"/>
      <c r="O71" s="169"/>
    </row>
    <row r="72" spans="1:15" ht="21" customHeight="1" x14ac:dyDescent="0.25">
      <c r="A72" s="149"/>
      <c r="B72" s="149"/>
      <c r="C72" s="149"/>
      <c r="D72" s="171"/>
      <c r="E72" s="171"/>
      <c r="F72" s="171"/>
      <c r="G72" s="171"/>
      <c r="H72" s="172"/>
      <c r="I72" s="172"/>
      <c r="J72" s="261" t="s">
        <v>127</v>
      </c>
      <c r="K72" s="261"/>
      <c r="L72" s="261"/>
      <c r="M72" s="261"/>
      <c r="N72" s="261"/>
      <c r="O72" s="169"/>
    </row>
    <row r="73" spans="1:15" ht="21" customHeight="1" x14ac:dyDescent="0.25">
      <c r="A73" s="149"/>
      <c r="B73" s="149"/>
      <c r="C73" s="149"/>
      <c r="D73" s="171"/>
      <c r="E73" s="171"/>
      <c r="F73" s="171"/>
      <c r="G73" s="171"/>
      <c r="H73" s="172"/>
      <c r="I73" s="172"/>
      <c r="J73" s="172"/>
      <c r="K73" s="172"/>
      <c r="L73" s="172"/>
      <c r="M73" s="172"/>
      <c r="N73" s="172"/>
      <c r="O73" s="169"/>
    </row>
    <row r="74" spans="1:15" ht="21" customHeight="1" x14ac:dyDescent="0.25">
      <c r="A74" s="149"/>
      <c r="B74" s="149"/>
      <c r="C74" s="149"/>
      <c r="D74" s="171"/>
      <c r="E74" s="171"/>
      <c r="F74" s="171"/>
      <c r="G74" s="171"/>
      <c r="H74" s="172"/>
      <c r="I74" s="172"/>
      <c r="J74" s="172"/>
      <c r="K74" s="172"/>
      <c r="L74" s="172"/>
      <c r="M74" s="172"/>
      <c r="N74" s="172"/>
      <c r="O74" s="169"/>
    </row>
    <row r="75" spans="1:15" ht="21" customHeight="1" x14ac:dyDescent="0.25">
      <c r="A75" s="149"/>
      <c r="B75" s="149"/>
      <c r="C75" s="149"/>
      <c r="D75" s="171"/>
      <c r="E75" s="171"/>
      <c r="F75" s="171"/>
      <c r="G75" s="171"/>
      <c r="H75" s="172"/>
      <c r="I75" s="172"/>
      <c r="J75" s="172"/>
      <c r="K75" s="172"/>
      <c r="L75" s="172"/>
      <c r="M75" s="172"/>
      <c r="N75" s="172"/>
      <c r="O75" s="169"/>
    </row>
    <row r="76" spans="1:15" ht="21" customHeight="1" x14ac:dyDescent="0.25">
      <c r="A76" s="149"/>
      <c r="B76" s="149"/>
      <c r="C76" s="149"/>
      <c r="D76" s="171"/>
      <c r="E76" s="171"/>
      <c r="F76" s="171"/>
      <c r="G76" s="171"/>
      <c r="H76" s="172"/>
      <c r="I76" s="172"/>
      <c r="J76" s="172"/>
      <c r="K76" s="172"/>
      <c r="L76" s="172"/>
      <c r="M76" s="172"/>
      <c r="N76" s="172"/>
      <c r="O76" s="169"/>
    </row>
    <row r="77" spans="1:15" ht="21" customHeight="1" x14ac:dyDescent="0.25">
      <c r="A77" s="149"/>
      <c r="B77" s="149"/>
      <c r="C77" s="149"/>
      <c r="D77" s="171"/>
      <c r="E77" s="171"/>
      <c r="F77" s="171"/>
      <c r="G77" s="171"/>
      <c r="H77" s="172"/>
      <c r="I77" s="172"/>
      <c r="J77" s="172"/>
      <c r="K77" s="172"/>
      <c r="L77" s="172"/>
      <c r="M77" s="172"/>
      <c r="N77" s="172"/>
      <c r="O77" s="169"/>
    </row>
    <row r="78" spans="1:15" ht="21" customHeight="1" x14ac:dyDescent="0.25">
      <c r="A78" s="149"/>
      <c r="B78" s="149"/>
      <c r="C78" s="149"/>
      <c r="D78" s="171"/>
      <c r="E78" s="171"/>
      <c r="F78" s="171"/>
      <c r="G78" s="171"/>
      <c r="H78" s="172"/>
      <c r="I78" s="172"/>
      <c r="J78" s="172"/>
      <c r="K78" s="172"/>
      <c r="L78" s="172"/>
      <c r="M78" s="172"/>
      <c r="N78" s="172"/>
      <c r="O78" s="169"/>
    </row>
    <row r="79" spans="1:15" ht="21" customHeight="1" x14ac:dyDescent="0.25">
      <c r="A79" s="149"/>
      <c r="B79" s="149"/>
      <c r="C79" s="149"/>
      <c r="D79" s="171"/>
      <c r="E79" s="171"/>
      <c r="F79" s="171"/>
      <c r="G79" s="171"/>
      <c r="H79" s="172"/>
      <c r="I79" s="172"/>
      <c r="J79" s="172"/>
      <c r="K79" s="172"/>
      <c r="L79" s="172"/>
      <c r="M79" s="172"/>
      <c r="N79" s="172"/>
      <c r="O79" s="169"/>
    </row>
    <row r="80" spans="1:15" ht="21" customHeight="1" x14ac:dyDescent="0.25">
      <c r="A80" s="149"/>
      <c r="B80" s="149"/>
      <c r="C80" s="149"/>
      <c r="D80" s="171"/>
      <c r="E80" s="171"/>
      <c r="F80" s="171"/>
      <c r="G80" s="171"/>
      <c r="H80" s="172"/>
      <c r="I80" s="172"/>
      <c r="J80" s="172"/>
      <c r="K80" s="172"/>
      <c r="L80" s="172"/>
      <c r="M80" s="172"/>
      <c r="N80" s="172"/>
      <c r="O80" s="169"/>
    </row>
    <row r="81" spans="1:16" ht="21" customHeight="1" x14ac:dyDescent="0.25">
      <c r="A81" s="149"/>
      <c r="B81" s="149"/>
      <c r="C81" s="149"/>
      <c r="D81" s="171"/>
      <c r="E81" s="171"/>
      <c r="F81" s="171"/>
      <c r="G81" s="171"/>
      <c r="H81" s="172"/>
      <c r="I81" s="172"/>
      <c r="J81" s="172"/>
      <c r="K81" s="172"/>
      <c r="L81" s="172"/>
      <c r="M81" s="172"/>
      <c r="N81" s="172"/>
      <c r="O81" s="169"/>
    </row>
    <row r="82" spans="1:16" ht="19.899999999999999" customHeight="1" x14ac:dyDescent="0.3">
      <c r="A82" s="10" t="s">
        <v>61</v>
      </c>
      <c r="B82" s="7"/>
      <c r="C82" s="7"/>
      <c r="D82" s="7"/>
      <c r="E82" s="7"/>
      <c r="F82" s="378" t="s">
        <v>32</v>
      </c>
      <c r="G82" s="378"/>
      <c r="H82" s="378"/>
      <c r="I82" s="378"/>
      <c r="J82" s="378"/>
      <c r="K82" s="378"/>
      <c r="L82" s="378"/>
      <c r="M82" s="378"/>
      <c r="N82" s="378"/>
      <c r="O82" s="156"/>
      <c r="P82" s="156"/>
    </row>
    <row r="83" spans="1:16" ht="19.899999999999999" customHeight="1" x14ac:dyDescent="0.3">
      <c r="A83" s="7" t="s">
        <v>222</v>
      </c>
      <c r="B83" s="7"/>
      <c r="C83" s="7"/>
      <c r="D83" s="7"/>
      <c r="E83" s="7"/>
      <c r="F83" s="154"/>
      <c r="G83" s="154"/>
      <c r="H83" s="154"/>
      <c r="I83" s="154"/>
      <c r="J83" s="154"/>
      <c r="K83" s="154"/>
      <c r="L83" s="154"/>
      <c r="M83" s="154"/>
      <c r="N83" s="154"/>
      <c r="O83" s="156"/>
      <c r="P83" s="156"/>
    </row>
    <row r="84" spans="1:16" ht="18" customHeight="1" x14ac:dyDescent="0.25">
      <c r="A84" s="279" t="s">
        <v>97</v>
      </c>
      <c r="B84" s="279"/>
      <c r="C84" s="279"/>
      <c r="D84" s="279"/>
      <c r="E84" s="279" t="s">
        <v>89</v>
      </c>
      <c r="F84" s="279"/>
      <c r="G84" s="279"/>
      <c r="H84" s="279"/>
      <c r="I84" s="279"/>
      <c r="J84" s="279"/>
      <c r="K84" s="279"/>
      <c r="L84" s="279"/>
      <c r="M84" s="279"/>
      <c r="N84" s="279"/>
      <c r="O84" s="157"/>
    </row>
    <row r="85" spans="1:16" ht="18" customHeight="1" x14ac:dyDescent="0.25">
      <c r="A85" s="279"/>
      <c r="B85" s="279"/>
      <c r="C85" s="279"/>
      <c r="D85" s="279"/>
      <c r="E85" s="279" t="s">
        <v>104</v>
      </c>
      <c r="F85" s="279"/>
      <c r="G85" s="279"/>
      <c r="H85" s="279"/>
      <c r="I85" s="279"/>
      <c r="J85" s="279" t="s">
        <v>101</v>
      </c>
      <c r="K85" s="279"/>
      <c r="L85" s="279"/>
      <c r="M85" s="279"/>
      <c r="N85" s="279"/>
      <c r="O85" s="157"/>
    </row>
    <row r="86" spans="1:16" ht="18" customHeight="1" x14ac:dyDescent="0.25">
      <c r="A86" s="280" t="s">
        <v>90</v>
      </c>
      <c r="B86" s="280"/>
      <c r="C86" s="280"/>
      <c r="D86" s="280"/>
      <c r="E86" s="283" t="s">
        <v>148</v>
      </c>
      <c r="F86" s="283"/>
      <c r="G86" s="283"/>
      <c r="H86" s="283"/>
      <c r="I86" s="283"/>
      <c r="J86" s="284" t="s">
        <v>175</v>
      </c>
      <c r="K86" s="285"/>
      <c r="L86" s="285"/>
      <c r="M86" s="285"/>
      <c r="N86" s="286"/>
      <c r="O86" s="157"/>
    </row>
    <row r="87" spans="1:16" ht="18" customHeight="1" x14ac:dyDescent="0.25">
      <c r="A87" s="535" t="s">
        <v>174</v>
      </c>
      <c r="B87" s="536"/>
      <c r="C87" s="536"/>
      <c r="D87" s="537"/>
      <c r="E87" s="283"/>
      <c r="F87" s="283"/>
      <c r="G87" s="283"/>
      <c r="H87" s="283"/>
      <c r="I87" s="283"/>
      <c r="J87" s="287"/>
      <c r="K87" s="288"/>
      <c r="L87" s="288"/>
      <c r="M87" s="288"/>
      <c r="N87" s="289"/>
      <c r="O87" s="157"/>
    </row>
    <row r="88" spans="1:16" ht="18" customHeight="1" x14ac:dyDescent="0.25">
      <c r="A88" s="547" t="s">
        <v>173</v>
      </c>
      <c r="B88" s="547"/>
      <c r="C88" s="547"/>
      <c r="D88" s="547"/>
      <c r="E88" s="283"/>
      <c r="F88" s="283"/>
      <c r="G88" s="283"/>
      <c r="H88" s="283"/>
      <c r="I88" s="283"/>
      <c r="J88" s="290"/>
      <c r="K88" s="291"/>
      <c r="L88" s="291"/>
      <c r="M88" s="291"/>
      <c r="N88" s="292"/>
      <c r="O88" s="157"/>
    </row>
    <row r="89" spans="1:16" ht="18" customHeight="1" x14ac:dyDescent="0.3">
      <c r="A89" s="309" t="s">
        <v>122</v>
      </c>
      <c r="B89" s="310"/>
      <c r="C89" s="311"/>
      <c r="D89" s="108">
        <v>38</v>
      </c>
      <c r="E89" s="7"/>
      <c r="F89" s="154"/>
      <c r="G89" s="154"/>
      <c r="H89" s="154"/>
      <c r="I89" s="154"/>
      <c r="J89" s="154"/>
      <c r="K89" s="154"/>
      <c r="L89" s="154"/>
      <c r="M89" s="154"/>
      <c r="N89" s="154"/>
      <c r="O89" s="156"/>
      <c r="P89" s="156"/>
    </row>
    <row r="90" spans="1:16" ht="19.899999999999999" customHeight="1" x14ac:dyDescent="0.25">
      <c r="A90" s="293" t="s">
        <v>0</v>
      </c>
      <c r="B90" s="296" t="s">
        <v>19</v>
      </c>
      <c r="C90" s="561" t="s">
        <v>8</v>
      </c>
      <c r="D90" s="296" t="s">
        <v>9</v>
      </c>
      <c r="E90" s="557" t="s">
        <v>11</v>
      </c>
      <c r="F90" s="558"/>
      <c r="G90" s="557" t="s">
        <v>13</v>
      </c>
      <c r="H90" s="558"/>
      <c r="I90" s="293" t="s">
        <v>16</v>
      </c>
      <c r="J90" s="293" t="s">
        <v>41</v>
      </c>
      <c r="K90" s="293" t="s">
        <v>42</v>
      </c>
      <c r="L90" s="293" t="s">
        <v>17</v>
      </c>
      <c r="M90" s="293" t="s">
        <v>57</v>
      </c>
      <c r="N90" s="293" t="s">
        <v>18</v>
      </c>
      <c r="O90" s="158"/>
    </row>
    <row r="91" spans="1:16" ht="19.899999999999999" customHeight="1" x14ac:dyDescent="0.25">
      <c r="A91" s="294"/>
      <c r="B91" s="297"/>
      <c r="C91" s="562"/>
      <c r="D91" s="297"/>
      <c r="E91" s="559"/>
      <c r="F91" s="560"/>
      <c r="G91" s="559"/>
      <c r="H91" s="560"/>
      <c r="I91" s="303"/>
      <c r="J91" s="303"/>
      <c r="K91" s="303"/>
      <c r="L91" s="303"/>
      <c r="M91" s="303"/>
      <c r="N91" s="294"/>
      <c r="O91" s="149"/>
    </row>
    <row r="92" spans="1:16" ht="19.899999999999999" customHeight="1" x14ac:dyDescent="0.25">
      <c r="A92" s="294"/>
      <c r="B92" s="297"/>
      <c r="C92" s="562"/>
      <c r="D92" s="297"/>
      <c r="E92" s="293" t="s">
        <v>10</v>
      </c>
      <c r="F92" s="293" t="s">
        <v>12</v>
      </c>
      <c r="G92" s="293" t="s">
        <v>94</v>
      </c>
      <c r="H92" s="293" t="s">
        <v>15</v>
      </c>
      <c r="I92" s="303"/>
      <c r="J92" s="303"/>
      <c r="K92" s="303"/>
      <c r="L92" s="303"/>
      <c r="M92" s="303"/>
      <c r="N92" s="294"/>
      <c r="O92" s="149"/>
    </row>
    <row r="93" spans="1:16" ht="19.899999999999999" customHeight="1" x14ac:dyDescent="0.25">
      <c r="A93" s="295"/>
      <c r="B93" s="298"/>
      <c r="C93" s="563"/>
      <c r="D93" s="298"/>
      <c r="E93" s="304"/>
      <c r="F93" s="304"/>
      <c r="G93" s="304"/>
      <c r="H93" s="304"/>
      <c r="I93" s="304"/>
      <c r="J93" s="304"/>
      <c r="K93" s="304"/>
      <c r="L93" s="304"/>
      <c r="M93" s="304"/>
      <c r="N93" s="295"/>
      <c r="O93" s="149"/>
    </row>
    <row r="94" spans="1:16" ht="19.899999999999999" customHeight="1" x14ac:dyDescent="0.25">
      <c r="A94" s="318" t="s">
        <v>39</v>
      </c>
      <c r="B94" s="319"/>
      <c r="C94" s="319"/>
      <c r="D94" s="319"/>
      <c r="E94" s="319"/>
      <c r="F94" s="319"/>
      <c r="G94" s="319"/>
      <c r="H94" s="319"/>
      <c r="I94" s="319"/>
      <c r="J94" s="319"/>
      <c r="K94" s="319"/>
      <c r="L94" s="319"/>
      <c r="M94" s="319"/>
      <c r="N94" s="320"/>
      <c r="O94" s="149"/>
    </row>
    <row r="95" spans="1:16" ht="19.149999999999999" customHeight="1" x14ac:dyDescent="0.25">
      <c r="A95" s="8">
        <v>1</v>
      </c>
      <c r="B95" s="9" t="s">
        <v>2</v>
      </c>
      <c r="C95" s="20">
        <f>L95/100*100</f>
        <v>50</v>
      </c>
      <c r="D95" s="21">
        <f>C95/100*60</f>
        <v>30</v>
      </c>
      <c r="E95" s="22">
        <f>C95/100*15</f>
        <v>7.5</v>
      </c>
      <c r="F95" s="22"/>
      <c r="G95" s="22"/>
      <c r="H95" s="22"/>
      <c r="I95" s="22"/>
      <c r="J95" s="24">
        <f>C95/100*387</f>
        <v>193.5</v>
      </c>
      <c r="K95" s="24">
        <f>C95/100*0.09</f>
        <v>4.4999999999999998E-2</v>
      </c>
      <c r="L95" s="116">
        <v>50</v>
      </c>
      <c r="M95" s="61">
        <v>20</v>
      </c>
      <c r="N95" s="20">
        <f>L95*M95</f>
        <v>1000</v>
      </c>
      <c r="O95" s="3"/>
    </row>
    <row r="96" spans="1:16" ht="19.149999999999999" customHeight="1" x14ac:dyDescent="0.25">
      <c r="A96" s="8">
        <v>2</v>
      </c>
      <c r="B96" s="124" t="s">
        <v>141</v>
      </c>
      <c r="C96" s="20">
        <f>L96/100*100</f>
        <v>190</v>
      </c>
      <c r="D96" s="21">
        <f>C96/100*899</f>
        <v>1708.1</v>
      </c>
      <c r="E96" s="22"/>
      <c r="F96" s="22"/>
      <c r="G96" s="100">
        <f>C96/100*100</f>
        <v>190</v>
      </c>
      <c r="H96" s="99"/>
      <c r="I96" s="22"/>
      <c r="J96" s="24"/>
      <c r="K96" s="24"/>
      <c r="L96" s="116">
        <v>190</v>
      </c>
      <c r="M96" s="61">
        <v>68</v>
      </c>
      <c r="N96" s="20">
        <f t="shared" ref="N96:N102" si="5">L96*M96</f>
        <v>12920</v>
      </c>
      <c r="O96" s="3"/>
    </row>
    <row r="97" spans="1:20" ht="19.149999999999999" customHeight="1" x14ac:dyDescent="0.25">
      <c r="A97" s="8">
        <v>3</v>
      </c>
      <c r="B97" s="4" t="s">
        <v>1</v>
      </c>
      <c r="C97" s="20">
        <f>L97/100*100</f>
        <v>1634</v>
      </c>
      <c r="D97" s="21">
        <f>C97/100*344</f>
        <v>5620.96</v>
      </c>
      <c r="E97" s="22"/>
      <c r="F97" s="99">
        <f>C97/100*7.9</f>
        <v>129.08600000000001</v>
      </c>
      <c r="G97" s="22"/>
      <c r="H97" s="22">
        <f>C97/100*1</f>
        <v>16.34</v>
      </c>
      <c r="I97" s="99">
        <f>C97/100*75.9</f>
        <v>1240.2060000000001</v>
      </c>
      <c r="J97" s="24">
        <f>C97/100*30</f>
        <v>490.2</v>
      </c>
      <c r="K97" s="24">
        <f>C97/100*0.1</f>
        <v>1.6340000000000001</v>
      </c>
      <c r="L97" s="116">
        <v>1634</v>
      </c>
      <c r="M97" s="61">
        <v>18</v>
      </c>
      <c r="N97" s="20">
        <f t="shared" si="5"/>
        <v>29412</v>
      </c>
      <c r="O97" s="3"/>
    </row>
    <row r="98" spans="1:20" ht="19.149999999999999" customHeight="1" x14ac:dyDescent="0.25">
      <c r="A98" s="8">
        <v>4</v>
      </c>
      <c r="B98" s="4" t="s">
        <v>69</v>
      </c>
      <c r="C98" s="20">
        <f>L98/100*48</f>
        <v>729.59999999999991</v>
      </c>
      <c r="D98" s="21">
        <f>C98/100*199</f>
        <v>1451.9039999999998</v>
      </c>
      <c r="E98" s="99">
        <f>C98/100*20.3</f>
        <v>148.1088</v>
      </c>
      <c r="F98" s="99"/>
      <c r="G98" s="99">
        <f>C98/100*13.1</f>
        <v>95.57759999999999</v>
      </c>
      <c r="H98" s="22"/>
      <c r="I98" s="22"/>
      <c r="J98" s="24">
        <f>C98/100*12</f>
        <v>87.551999999999992</v>
      </c>
      <c r="K98" s="24">
        <f>C98/100*0.15</f>
        <v>1.0943999999999998</v>
      </c>
      <c r="L98" s="116">
        <v>1520</v>
      </c>
      <c r="M98" s="23">
        <v>84</v>
      </c>
      <c r="N98" s="20">
        <f t="shared" si="5"/>
        <v>127680</v>
      </c>
      <c r="O98" s="3"/>
      <c r="Q98" s="2"/>
      <c r="R98" s="2"/>
      <c r="S98" s="3"/>
    </row>
    <row r="99" spans="1:20" ht="19.149999999999999" customHeight="1" x14ac:dyDescent="0.25">
      <c r="A99" s="8">
        <v>5</v>
      </c>
      <c r="B99" s="65" t="s">
        <v>147</v>
      </c>
      <c r="C99" s="20">
        <f>L99/100*89</f>
        <v>1246</v>
      </c>
      <c r="D99" s="21">
        <f>C99/100*154</f>
        <v>1918.8400000000001</v>
      </c>
      <c r="E99" s="99">
        <f>C99/100*13.1</f>
        <v>163.226</v>
      </c>
      <c r="F99" s="22"/>
      <c r="G99" s="99">
        <f>C99/100*8.5</f>
        <v>105.91000000000001</v>
      </c>
      <c r="H99" s="22"/>
      <c r="I99" s="22">
        <f>C99/100*0.4</f>
        <v>4.9840000000000009</v>
      </c>
      <c r="J99" s="66">
        <f>C99/100*64</f>
        <v>797.44</v>
      </c>
      <c r="K99" s="24">
        <f>C99/100*0.13</f>
        <v>1.6198000000000001</v>
      </c>
      <c r="L99" s="23">
        <v>1400</v>
      </c>
      <c r="M99" s="46">
        <v>82</v>
      </c>
      <c r="N99" s="129">
        <f t="shared" si="5"/>
        <v>114800</v>
      </c>
      <c r="O99" s="3"/>
    </row>
    <row r="100" spans="1:20" ht="19.149999999999999" customHeight="1" x14ac:dyDescent="0.25">
      <c r="A100" s="8">
        <v>6</v>
      </c>
      <c r="B100" s="4" t="s">
        <v>136</v>
      </c>
      <c r="C100" s="20">
        <f>L100/100*100</f>
        <v>30</v>
      </c>
      <c r="D100" s="21">
        <f>C100/100*247</f>
        <v>74.099999999999994</v>
      </c>
      <c r="E100" s="25"/>
      <c r="F100" s="25">
        <f>C100/100*17.5</f>
        <v>5.25</v>
      </c>
      <c r="G100" s="25"/>
      <c r="H100" s="25">
        <f>C100/100*1.6</f>
        <v>0.48</v>
      </c>
      <c r="I100" s="25">
        <f>C100/100*39.2</f>
        <v>11.76</v>
      </c>
      <c r="J100" s="60"/>
      <c r="K100" s="60"/>
      <c r="L100" s="161">
        <v>30</v>
      </c>
      <c r="M100" s="61">
        <v>50</v>
      </c>
      <c r="N100" s="20">
        <f t="shared" si="5"/>
        <v>1500</v>
      </c>
      <c r="O100" s="3"/>
      <c r="Q100" s="2"/>
      <c r="R100" s="2"/>
      <c r="S100" s="3"/>
      <c r="T100" s="2"/>
    </row>
    <row r="101" spans="1:20" ht="18.600000000000001" customHeight="1" x14ac:dyDescent="0.25">
      <c r="A101" s="8">
        <v>7</v>
      </c>
      <c r="B101" s="4" t="s">
        <v>20</v>
      </c>
      <c r="C101" s="20">
        <f>L101/100*95</f>
        <v>361</v>
      </c>
      <c r="D101" s="21">
        <f>C101/100*20</f>
        <v>72.2</v>
      </c>
      <c r="E101" s="22"/>
      <c r="F101" s="22">
        <f>C101/100*0.6</f>
        <v>2.1659999999999999</v>
      </c>
      <c r="G101" s="22"/>
      <c r="H101" s="22">
        <f>C101/100*0.2</f>
        <v>0.72199999999999998</v>
      </c>
      <c r="I101" s="22">
        <f>C101/100*4</f>
        <v>14.44</v>
      </c>
      <c r="J101" s="24">
        <f>C101/100*12</f>
        <v>43.32</v>
      </c>
      <c r="K101" s="21">
        <f>C101/100*0.04</f>
        <v>0.1444</v>
      </c>
      <c r="L101" s="116">
        <v>380</v>
      </c>
      <c r="M101" s="63">
        <v>40</v>
      </c>
      <c r="N101" s="20">
        <f t="shared" si="5"/>
        <v>15200</v>
      </c>
      <c r="O101" s="15"/>
      <c r="Q101" s="2"/>
      <c r="R101" s="2"/>
      <c r="S101" s="3"/>
    </row>
    <row r="102" spans="1:20" ht="19.149999999999999" customHeight="1" x14ac:dyDescent="0.25">
      <c r="A102" s="8">
        <v>8</v>
      </c>
      <c r="B102" s="4" t="s">
        <v>131</v>
      </c>
      <c r="C102" s="20">
        <f>L102/100*75</f>
        <v>802.5</v>
      </c>
      <c r="D102" s="21">
        <f>C102/100*17</f>
        <v>136.42500000000001</v>
      </c>
      <c r="E102" s="22"/>
      <c r="F102" s="22">
        <f>C102/100*1.4</f>
        <v>11.234999999999999</v>
      </c>
      <c r="G102" s="22"/>
      <c r="H102" s="22">
        <f>C102/100*0.2</f>
        <v>1.6050000000000002</v>
      </c>
      <c r="I102" s="22">
        <f>C102/100*2.4</f>
        <v>19.260000000000002</v>
      </c>
      <c r="J102" s="22">
        <f>C102/100*50</f>
        <v>401.25</v>
      </c>
      <c r="K102" s="22">
        <f>C102/100*0.09</f>
        <v>0.72225000000000006</v>
      </c>
      <c r="L102" s="116">
        <v>1070</v>
      </c>
      <c r="M102" s="61">
        <v>18</v>
      </c>
      <c r="N102" s="20">
        <f t="shared" si="5"/>
        <v>19260</v>
      </c>
      <c r="O102" s="3"/>
    </row>
    <row r="103" spans="1:20" ht="19.149999999999999" customHeight="1" x14ac:dyDescent="0.25">
      <c r="A103" s="8">
        <v>9</v>
      </c>
      <c r="B103" s="5" t="s">
        <v>123</v>
      </c>
      <c r="C103" s="20"/>
      <c r="D103" s="21"/>
      <c r="E103" s="22"/>
      <c r="F103" s="22"/>
      <c r="G103" s="22"/>
      <c r="H103" s="22"/>
      <c r="I103" s="22"/>
      <c r="J103" s="24"/>
      <c r="K103" s="24"/>
      <c r="L103" s="23"/>
      <c r="M103" s="23"/>
      <c r="N103" s="20">
        <v>2450</v>
      </c>
      <c r="O103" s="3"/>
    </row>
    <row r="104" spans="1:20" ht="19.149999999999999" customHeight="1" x14ac:dyDescent="0.25">
      <c r="A104" s="18" t="s">
        <v>118</v>
      </c>
      <c r="B104" s="19"/>
      <c r="C104" s="29"/>
      <c r="D104" s="101">
        <f>SUM(D95:D103)</f>
        <v>11012.529</v>
      </c>
      <c r="E104" s="6"/>
      <c r="F104" s="6"/>
      <c r="G104" s="6"/>
      <c r="H104" s="6"/>
      <c r="I104" s="6"/>
      <c r="J104" s="6"/>
      <c r="K104" s="6"/>
      <c r="L104" s="37"/>
      <c r="M104" s="398"/>
      <c r="N104" s="277">
        <f>SUM(N95:N103)</f>
        <v>324222</v>
      </c>
      <c r="O104" s="3"/>
    </row>
    <row r="105" spans="1:20" ht="19.149999999999999" customHeight="1" x14ac:dyDescent="0.25">
      <c r="A105" s="18" t="s">
        <v>37</v>
      </c>
      <c r="B105" s="19"/>
      <c r="C105" s="38"/>
      <c r="D105" s="39">
        <f>D104/D89</f>
        <v>289.80339473684211</v>
      </c>
      <c r="E105" s="39"/>
      <c r="F105" s="39"/>
      <c r="G105" s="39"/>
      <c r="H105" s="39"/>
      <c r="I105" s="39"/>
      <c r="J105" s="39"/>
      <c r="K105" s="39"/>
      <c r="L105" s="37"/>
      <c r="M105" s="399"/>
      <c r="N105" s="278"/>
      <c r="O105" s="3"/>
    </row>
    <row r="106" spans="1:20" ht="19.149999999999999" customHeight="1" x14ac:dyDescent="0.25">
      <c r="A106" s="380" t="s">
        <v>53</v>
      </c>
      <c r="B106" s="306"/>
      <c r="C106" s="173" t="s">
        <v>151</v>
      </c>
      <c r="D106" s="17" t="s">
        <v>45</v>
      </c>
      <c r="E106" s="39"/>
      <c r="F106" s="39"/>
      <c r="G106" s="39"/>
      <c r="H106" s="39"/>
      <c r="I106" s="39"/>
      <c r="J106" s="40"/>
      <c r="K106" s="40"/>
      <c r="L106" s="37"/>
      <c r="M106" s="37"/>
      <c r="N106" s="150"/>
      <c r="O106" s="3"/>
    </row>
    <row r="107" spans="1:20" ht="19.149999999999999" customHeight="1" x14ac:dyDescent="0.25">
      <c r="A107" s="307"/>
      <c r="B107" s="308"/>
      <c r="C107" s="62" t="s">
        <v>60</v>
      </c>
      <c r="D107" s="17">
        <f>D105*100/930</f>
        <v>31.161655348047535</v>
      </c>
      <c r="E107" s="39"/>
      <c r="F107" s="39"/>
      <c r="G107" s="39"/>
      <c r="H107" s="39"/>
      <c r="I107" s="39"/>
      <c r="J107" s="40"/>
      <c r="K107" s="40"/>
      <c r="L107" s="37"/>
      <c r="M107" s="37"/>
      <c r="N107" s="150"/>
      <c r="O107" s="3"/>
    </row>
    <row r="108" spans="1:20" ht="19.149999999999999" customHeight="1" x14ac:dyDescent="0.3">
      <c r="A108" s="316" t="s">
        <v>38</v>
      </c>
      <c r="B108" s="316"/>
      <c r="C108" s="47"/>
      <c r="D108" s="48"/>
      <c r="E108" s="49"/>
      <c r="F108" s="49"/>
      <c r="G108" s="49"/>
      <c r="H108" s="49"/>
      <c r="I108" s="49"/>
      <c r="J108" s="49"/>
      <c r="K108" s="49"/>
      <c r="L108" s="50"/>
      <c r="M108" s="50"/>
      <c r="N108" s="47"/>
      <c r="O108" s="3"/>
    </row>
    <row r="109" spans="1:20" ht="19.149999999999999" customHeight="1" x14ac:dyDescent="0.25">
      <c r="A109" s="8">
        <v>1</v>
      </c>
      <c r="B109" s="9" t="s">
        <v>2</v>
      </c>
      <c r="C109" s="20">
        <f t="shared" ref="C109:C114" si="6">L109/100*100</f>
        <v>40</v>
      </c>
      <c r="D109" s="21">
        <f>C109/100*60</f>
        <v>24</v>
      </c>
      <c r="E109" s="22">
        <f>C109/100*15</f>
        <v>6</v>
      </c>
      <c r="F109" s="22"/>
      <c r="G109" s="22"/>
      <c r="H109" s="22"/>
      <c r="I109" s="22"/>
      <c r="J109" s="24">
        <f>C109/100*387</f>
        <v>154.80000000000001</v>
      </c>
      <c r="K109" s="24">
        <f>C109/100*0.09</f>
        <v>3.5999999999999997E-2</v>
      </c>
      <c r="L109" s="116">
        <v>40</v>
      </c>
      <c r="M109" s="61">
        <v>20</v>
      </c>
      <c r="N109" s="20">
        <f>L109*M109</f>
        <v>800</v>
      </c>
      <c r="O109" s="3"/>
    </row>
    <row r="110" spans="1:20" ht="19.149999999999999" customHeight="1" x14ac:dyDescent="0.25">
      <c r="A110" s="8">
        <v>2</v>
      </c>
      <c r="B110" s="124" t="s">
        <v>141</v>
      </c>
      <c r="C110" s="20">
        <f t="shared" si="6"/>
        <v>190</v>
      </c>
      <c r="D110" s="21">
        <f>C110/100*899</f>
        <v>1708.1</v>
      </c>
      <c r="E110" s="22"/>
      <c r="F110" s="22"/>
      <c r="G110" s="99">
        <f>C110/100*100</f>
        <v>190</v>
      </c>
      <c r="H110" s="22"/>
      <c r="I110" s="22"/>
      <c r="J110" s="22"/>
      <c r="K110" s="22"/>
      <c r="L110" s="116">
        <v>190</v>
      </c>
      <c r="M110" s="122">
        <v>68</v>
      </c>
      <c r="N110" s="20">
        <f t="shared" ref="N110:N113" si="7">L110*M110</f>
        <v>12920</v>
      </c>
      <c r="O110" s="160"/>
    </row>
    <row r="111" spans="1:20" ht="19.149999999999999" customHeight="1" x14ac:dyDescent="0.25">
      <c r="A111" s="8">
        <v>3</v>
      </c>
      <c r="B111" s="126" t="s">
        <v>146</v>
      </c>
      <c r="C111" s="20">
        <f t="shared" si="6"/>
        <v>100</v>
      </c>
      <c r="D111" s="100">
        <f>C111/100*900</f>
        <v>900</v>
      </c>
      <c r="E111" s="22"/>
      <c r="F111" s="22"/>
      <c r="G111" s="99"/>
      <c r="H111" s="99">
        <f>C111/100*100</f>
        <v>100</v>
      </c>
      <c r="I111" s="22"/>
      <c r="J111" s="22"/>
      <c r="K111" s="22"/>
      <c r="L111" s="116">
        <v>100</v>
      </c>
      <c r="M111" s="61">
        <v>63.5</v>
      </c>
      <c r="N111" s="20">
        <f t="shared" si="7"/>
        <v>6350</v>
      </c>
      <c r="O111" s="160"/>
    </row>
    <row r="112" spans="1:20" ht="19.149999999999999" customHeight="1" x14ac:dyDescent="0.25">
      <c r="A112" s="8">
        <v>4</v>
      </c>
      <c r="B112" s="4" t="s">
        <v>1</v>
      </c>
      <c r="C112" s="20">
        <f t="shared" si="6"/>
        <v>911.99999999999989</v>
      </c>
      <c r="D112" s="21">
        <f>C112/100*344</f>
        <v>3137.2799999999997</v>
      </c>
      <c r="E112" s="22"/>
      <c r="F112" s="22">
        <f>C112/100*7.9</f>
        <v>72.048000000000002</v>
      </c>
      <c r="G112" s="22"/>
      <c r="H112" s="22">
        <f>C112/100*1</f>
        <v>9.1199999999999992</v>
      </c>
      <c r="I112" s="22">
        <f>C112/100*75.9</f>
        <v>692.20799999999997</v>
      </c>
      <c r="J112" s="24">
        <f>C112/100*30</f>
        <v>273.59999999999997</v>
      </c>
      <c r="K112" s="24">
        <f>C112/100*0.1</f>
        <v>0.91199999999999992</v>
      </c>
      <c r="L112" s="116">
        <v>912</v>
      </c>
      <c r="M112" s="61">
        <v>18</v>
      </c>
      <c r="N112" s="20">
        <f t="shared" si="7"/>
        <v>16416</v>
      </c>
      <c r="O112" s="3"/>
    </row>
    <row r="113" spans="1:20" ht="19.149999999999999" customHeight="1" x14ac:dyDescent="0.25">
      <c r="A113" s="8">
        <v>5</v>
      </c>
      <c r="B113" s="4" t="s">
        <v>73</v>
      </c>
      <c r="C113" s="20">
        <f t="shared" si="6"/>
        <v>610</v>
      </c>
      <c r="D113" s="21">
        <f>C113/100*344</f>
        <v>2098.4</v>
      </c>
      <c r="E113" s="22"/>
      <c r="F113" s="22">
        <f>C113/100*8.6</f>
        <v>52.459999999999994</v>
      </c>
      <c r="G113" s="22"/>
      <c r="H113" s="22">
        <f>C113/100*1.5</f>
        <v>9.1499999999999986</v>
      </c>
      <c r="I113" s="22">
        <f>C113/100*74.5</f>
        <v>454.45</v>
      </c>
      <c r="J113" s="22">
        <f>C113/100*32</f>
        <v>195.2</v>
      </c>
      <c r="K113" s="24">
        <f>C113/100*0.14</f>
        <v>0.85399999999999998</v>
      </c>
      <c r="L113" s="116">
        <v>610</v>
      </c>
      <c r="M113" s="61">
        <v>30</v>
      </c>
      <c r="N113" s="20">
        <f t="shared" si="7"/>
        <v>18300</v>
      </c>
      <c r="O113" s="3"/>
      <c r="P113" s="15"/>
    </row>
    <row r="114" spans="1:20" ht="19.149999999999999" customHeight="1" x14ac:dyDescent="0.25">
      <c r="A114" s="8">
        <v>6</v>
      </c>
      <c r="B114" s="4" t="s">
        <v>67</v>
      </c>
      <c r="C114" s="20">
        <f t="shared" si="6"/>
        <v>70</v>
      </c>
      <c r="D114" s="21">
        <f>C114/100*334</f>
        <v>233.79999999999998</v>
      </c>
      <c r="E114" s="22"/>
      <c r="F114" s="22">
        <f>C114/100*20</f>
        <v>14</v>
      </c>
      <c r="G114" s="22"/>
      <c r="H114" s="22">
        <f>C114/100*2.4</f>
        <v>1.68</v>
      </c>
      <c r="I114" s="22">
        <f>C114/100*58</f>
        <v>40.599999999999994</v>
      </c>
      <c r="J114" s="24">
        <f>C114/100*89</f>
        <v>62.3</v>
      </c>
      <c r="K114" s="24">
        <f>C114/100*0.64</f>
        <v>0.44799999999999995</v>
      </c>
      <c r="L114" s="116">
        <v>70</v>
      </c>
      <c r="M114" s="61">
        <v>190</v>
      </c>
      <c r="N114" s="20">
        <f>L114*M114</f>
        <v>13300</v>
      </c>
      <c r="O114" s="3"/>
    </row>
    <row r="115" spans="1:20" ht="16.149999999999999" customHeight="1" x14ac:dyDescent="0.25">
      <c r="A115" s="8">
        <v>7</v>
      </c>
      <c r="B115" s="4" t="s">
        <v>4</v>
      </c>
      <c r="C115" s="20">
        <f>L115/100*98.5</f>
        <v>561.45000000000005</v>
      </c>
      <c r="D115" s="21">
        <f>C115/100*39</f>
        <v>218.96550000000002</v>
      </c>
      <c r="E115" s="25"/>
      <c r="F115" s="25">
        <f>C115/100*1.5</f>
        <v>8.4217500000000012</v>
      </c>
      <c r="G115" s="25"/>
      <c r="H115" s="25">
        <f>C115/100*0.2</f>
        <v>1.1229000000000002</v>
      </c>
      <c r="I115" s="25">
        <f>C115/100*7.8</f>
        <v>43.793100000000003</v>
      </c>
      <c r="J115" s="25">
        <f>C115/100*43</f>
        <v>241.42350000000002</v>
      </c>
      <c r="K115" s="25">
        <f>C115/100*0.06</f>
        <v>0.33687</v>
      </c>
      <c r="L115" s="161">
        <v>570</v>
      </c>
      <c r="M115" s="23">
        <v>17</v>
      </c>
      <c r="N115" s="114">
        <f t="shared" ref="N115:N118" si="8">L115*M115</f>
        <v>9690</v>
      </c>
      <c r="O115" s="3"/>
      <c r="Q115" s="2"/>
      <c r="R115" s="2"/>
      <c r="S115" s="3"/>
    </row>
    <row r="116" spans="1:20" ht="20.45" customHeight="1" x14ac:dyDescent="0.25">
      <c r="A116" s="8">
        <v>8</v>
      </c>
      <c r="B116" s="9" t="s">
        <v>3</v>
      </c>
      <c r="C116" s="20">
        <f>L116/100*98</f>
        <v>558.6</v>
      </c>
      <c r="D116" s="21">
        <f>C116/100*118</f>
        <v>659.14800000000002</v>
      </c>
      <c r="E116" s="99">
        <f>C116/100*21</f>
        <v>117.30600000000001</v>
      </c>
      <c r="F116" s="22"/>
      <c r="G116" s="22">
        <f>C116/100*3.8</f>
        <v>21.226800000000001</v>
      </c>
      <c r="H116" s="22"/>
      <c r="I116" s="22"/>
      <c r="J116" s="22">
        <f>C116/100*12</f>
        <v>67.032000000000011</v>
      </c>
      <c r="K116" s="22">
        <f>C116/100*0.1</f>
        <v>0.5586000000000001</v>
      </c>
      <c r="L116" s="116">
        <v>570</v>
      </c>
      <c r="M116" s="121">
        <v>250</v>
      </c>
      <c r="N116" s="114">
        <f t="shared" si="8"/>
        <v>142500</v>
      </c>
      <c r="O116" s="3"/>
    </row>
    <row r="117" spans="1:20" ht="18.600000000000001" customHeight="1" x14ac:dyDescent="0.25">
      <c r="A117" s="8">
        <v>9</v>
      </c>
      <c r="B117" s="4" t="s">
        <v>69</v>
      </c>
      <c r="C117" s="20">
        <f>L117/100*48</f>
        <v>691.2</v>
      </c>
      <c r="D117" s="21">
        <f>C117/100*199</f>
        <v>1375.4880000000001</v>
      </c>
      <c r="E117" s="99">
        <f>C117/100*20.3</f>
        <v>140.31360000000001</v>
      </c>
      <c r="F117" s="22"/>
      <c r="G117" s="22">
        <f>C117/100*13.1</f>
        <v>90.547200000000004</v>
      </c>
      <c r="H117" s="22"/>
      <c r="I117" s="22"/>
      <c r="J117" s="24">
        <f>C117/100*12</f>
        <v>82.944000000000017</v>
      </c>
      <c r="K117" s="24">
        <f>C117/100*0.15</f>
        <v>1.0368000000000002</v>
      </c>
      <c r="L117" s="116">
        <v>1440</v>
      </c>
      <c r="M117" s="116">
        <v>84</v>
      </c>
      <c r="N117" s="20">
        <f t="shared" si="8"/>
        <v>120960</v>
      </c>
      <c r="O117" s="3"/>
      <c r="Q117" s="2"/>
      <c r="R117" s="2"/>
      <c r="S117" s="3"/>
    </row>
    <row r="118" spans="1:20" ht="19.149999999999999" customHeight="1" x14ac:dyDescent="0.25">
      <c r="A118" s="8">
        <v>10</v>
      </c>
      <c r="B118" s="4" t="s">
        <v>136</v>
      </c>
      <c r="C118" s="20">
        <f>L118/100*100</f>
        <v>30</v>
      </c>
      <c r="D118" s="21">
        <f>C118/100*247</f>
        <v>74.099999999999994</v>
      </c>
      <c r="E118" s="25"/>
      <c r="F118" s="25">
        <f>C118/100*17.5</f>
        <v>5.25</v>
      </c>
      <c r="G118" s="25"/>
      <c r="H118" s="25">
        <f>C118/100*1.6</f>
        <v>0.48</v>
      </c>
      <c r="I118" s="25">
        <f>C118/100*39.2</f>
        <v>11.76</v>
      </c>
      <c r="J118" s="60"/>
      <c r="K118" s="60"/>
      <c r="L118" s="161">
        <v>30</v>
      </c>
      <c r="M118" s="61">
        <v>50</v>
      </c>
      <c r="N118" s="20">
        <f t="shared" si="8"/>
        <v>1500</v>
      </c>
      <c r="O118" s="3"/>
      <c r="Q118" s="2"/>
      <c r="R118" s="2"/>
      <c r="S118" s="3"/>
      <c r="T118" s="2"/>
    </row>
    <row r="119" spans="1:20" ht="19.149999999999999" customHeight="1" x14ac:dyDescent="0.25">
      <c r="A119" s="8">
        <v>11</v>
      </c>
      <c r="B119" s="5" t="s">
        <v>123</v>
      </c>
      <c r="C119" s="20"/>
      <c r="D119" s="21"/>
      <c r="E119" s="22"/>
      <c r="F119" s="22"/>
      <c r="G119" s="22"/>
      <c r="H119" s="22"/>
      <c r="I119" s="22"/>
      <c r="J119" s="24"/>
      <c r="K119" s="24"/>
      <c r="L119" s="23"/>
      <c r="M119" s="23"/>
      <c r="N119" s="20">
        <v>2450</v>
      </c>
      <c r="O119" s="3"/>
    </row>
    <row r="120" spans="1:20" ht="19.149999999999999" customHeight="1" x14ac:dyDescent="0.25">
      <c r="A120" s="18" t="s">
        <v>119</v>
      </c>
      <c r="B120" s="19"/>
      <c r="C120" s="29"/>
      <c r="D120" s="101">
        <f>SUM(D109:D119)</f>
        <v>10429.281499999997</v>
      </c>
      <c r="E120" s="6"/>
      <c r="F120" s="6"/>
      <c r="G120" s="6"/>
      <c r="H120" s="6"/>
      <c r="I120" s="6"/>
      <c r="J120" s="6"/>
      <c r="K120" s="6"/>
      <c r="L120" s="37"/>
      <c r="M120" s="398"/>
      <c r="N120" s="277">
        <f>SUM(N109:N119)</f>
        <v>345186</v>
      </c>
      <c r="O120" s="3"/>
    </row>
    <row r="121" spans="1:20" ht="19.149999999999999" customHeight="1" x14ac:dyDescent="0.25">
      <c r="A121" s="18" t="s">
        <v>36</v>
      </c>
      <c r="B121" s="19"/>
      <c r="C121" s="51"/>
      <c r="D121" s="40">
        <f>D120/D89</f>
        <v>274.45477631578939</v>
      </c>
      <c r="E121" s="40"/>
      <c r="F121" s="40"/>
      <c r="G121" s="40"/>
      <c r="H121" s="40"/>
      <c r="I121" s="40"/>
      <c r="J121" s="40"/>
      <c r="K121" s="40"/>
      <c r="L121" s="52"/>
      <c r="M121" s="399"/>
      <c r="N121" s="315"/>
      <c r="O121" s="3"/>
      <c r="S121" s="142"/>
    </row>
    <row r="122" spans="1:20" ht="19.149999999999999" customHeight="1" x14ac:dyDescent="0.25">
      <c r="A122" s="380" t="s">
        <v>54</v>
      </c>
      <c r="B122" s="306"/>
      <c r="C122" s="173" t="s">
        <v>151</v>
      </c>
      <c r="D122" s="17" t="s">
        <v>46</v>
      </c>
      <c r="E122" s="39"/>
      <c r="F122" s="39"/>
      <c r="G122" s="39"/>
      <c r="H122" s="39"/>
      <c r="I122" s="39"/>
      <c r="J122" s="40"/>
      <c r="K122" s="40"/>
      <c r="L122" s="37"/>
      <c r="M122" s="37"/>
      <c r="N122" s="150"/>
      <c r="O122" s="3"/>
    </row>
    <row r="123" spans="1:20" ht="19.149999999999999" customHeight="1" x14ac:dyDescent="0.25">
      <c r="A123" s="307"/>
      <c r="B123" s="308"/>
      <c r="C123" s="62" t="s">
        <v>60</v>
      </c>
      <c r="D123" s="17">
        <f>D121*100/930</f>
        <v>29.511266270514987</v>
      </c>
      <c r="E123" s="39"/>
      <c r="F123" s="39"/>
      <c r="G123" s="39"/>
      <c r="H123" s="39"/>
      <c r="I123" s="39"/>
      <c r="J123" s="40"/>
      <c r="K123" s="40"/>
      <c r="L123" s="37"/>
      <c r="M123" s="37"/>
      <c r="N123" s="150"/>
      <c r="O123" s="3"/>
    </row>
    <row r="124" spans="1:20" ht="19.149999999999999" customHeight="1" x14ac:dyDescent="0.3">
      <c r="A124" s="316" t="s">
        <v>35</v>
      </c>
      <c r="B124" s="316"/>
      <c r="C124" s="53"/>
      <c r="D124" s="54"/>
      <c r="E124" s="54"/>
      <c r="F124" s="54"/>
      <c r="G124" s="54"/>
      <c r="H124" s="54"/>
      <c r="I124" s="54"/>
      <c r="J124" s="54"/>
      <c r="K124" s="54"/>
      <c r="L124" s="55"/>
      <c r="M124" s="55"/>
      <c r="N124" s="56"/>
      <c r="O124" s="3"/>
    </row>
    <row r="125" spans="1:20" ht="19.149999999999999" customHeight="1" x14ac:dyDescent="0.25">
      <c r="A125" s="91">
        <v>1</v>
      </c>
      <c r="B125" s="131" t="s">
        <v>149</v>
      </c>
      <c r="C125" s="29">
        <f>L125/100*100</f>
        <v>640</v>
      </c>
      <c r="D125" s="92">
        <f>C125/100*487</f>
        <v>3116.8</v>
      </c>
      <c r="E125" s="31"/>
      <c r="F125" s="109">
        <f>C125/100*19.5</f>
        <v>124.80000000000001</v>
      </c>
      <c r="G125" s="109"/>
      <c r="H125" s="109">
        <f>C125/100*23.2</f>
        <v>148.47999999999999</v>
      </c>
      <c r="I125" s="31">
        <f>C125/100*46</f>
        <v>294.40000000000003</v>
      </c>
      <c r="J125" s="109">
        <f>C125/100*680</f>
        <v>4352</v>
      </c>
      <c r="K125" s="31">
        <f>C125/100*0.55</f>
        <v>3.5200000000000005</v>
      </c>
      <c r="L125" s="32">
        <v>640</v>
      </c>
      <c r="M125" s="132">
        <v>260</v>
      </c>
      <c r="N125" s="29">
        <f t="shared" ref="N125" si="9">L125*M125</f>
        <v>166400</v>
      </c>
      <c r="O125" s="3"/>
      <c r="P125" s="2"/>
    </row>
    <row r="126" spans="1:20" ht="20.45" customHeight="1" x14ac:dyDescent="0.25">
      <c r="A126" s="293" t="s">
        <v>0</v>
      </c>
      <c r="B126" s="296" t="s">
        <v>19</v>
      </c>
      <c r="C126" s="561" t="s">
        <v>8</v>
      </c>
      <c r="D126" s="296" t="s">
        <v>9</v>
      </c>
      <c r="E126" s="557" t="s">
        <v>11</v>
      </c>
      <c r="F126" s="558"/>
      <c r="G126" s="557" t="s">
        <v>13</v>
      </c>
      <c r="H126" s="558"/>
      <c r="I126" s="293" t="s">
        <v>16</v>
      </c>
      <c r="J126" s="293" t="s">
        <v>41</v>
      </c>
      <c r="K126" s="293" t="s">
        <v>42</v>
      </c>
      <c r="L126" s="293" t="s">
        <v>17</v>
      </c>
      <c r="M126" s="293" t="s">
        <v>57</v>
      </c>
      <c r="N126" s="293" t="s">
        <v>18</v>
      </c>
      <c r="O126" s="158"/>
    </row>
    <row r="127" spans="1:20" ht="20.45" customHeight="1" x14ac:dyDescent="0.25">
      <c r="A127" s="294"/>
      <c r="B127" s="297"/>
      <c r="C127" s="562"/>
      <c r="D127" s="297"/>
      <c r="E127" s="559"/>
      <c r="F127" s="560"/>
      <c r="G127" s="559"/>
      <c r="H127" s="560"/>
      <c r="I127" s="303"/>
      <c r="J127" s="303"/>
      <c r="K127" s="303"/>
      <c r="L127" s="303"/>
      <c r="M127" s="303"/>
      <c r="N127" s="294"/>
      <c r="O127" s="149"/>
    </row>
    <row r="128" spans="1:20" ht="20.45" customHeight="1" x14ac:dyDescent="0.25">
      <c r="A128" s="294"/>
      <c r="B128" s="297"/>
      <c r="C128" s="562"/>
      <c r="D128" s="297"/>
      <c r="E128" s="293" t="s">
        <v>10</v>
      </c>
      <c r="F128" s="293" t="s">
        <v>12</v>
      </c>
      <c r="G128" s="293" t="s">
        <v>94</v>
      </c>
      <c r="H128" s="293" t="s">
        <v>15</v>
      </c>
      <c r="I128" s="303"/>
      <c r="J128" s="303"/>
      <c r="K128" s="303"/>
      <c r="L128" s="303"/>
      <c r="M128" s="303"/>
      <c r="N128" s="294"/>
      <c r="O128" s="149"/>
    </row>
    <row r="129" spans="1:22" ht="20.45" customHeight="1" x14ac:dyDescent="0.25">
      <c r="A129" s="295"/>
      <c r="B129" s="298"/>
      <c r="C129" s="563"/>
      <c r="D129" s="298"/>
      <c r="E129" s="304"/>
      <c r="F129" s="304"/>
      <c r="G129" s="304"/>
      <c r="H129" s="304"/>
      <c r="I129" s="304"/>
      <c r="J129" s="304"/>
      <c r="K129" s="304"/>
      <c r="L129" s="304"/>
      <c r="M129" s="304"/>
      <c r="N129" s="295"/>
      <c r="O129" s="149"/>
    </row>
    <row r="130" spans="1:22" ht="21" customHeight="1" x14ac:dyDescent="0.25">
      <c r="A130" s="18" t="s">
        <v>110</v>
      </c>
      <c r="B130" s="19"/>
      <c r="C130" s="29"/>
      <c r="D130" s="30">
        <f>SUM(D124:D125)</f>
        <v>3116.8</v>
      </c>
      <c r="E130" s="6"/>
      <c r="F130" s="6"/>
      <c r="G130" s="6"/>
      <c r="H130" s="6"/>
      <c r="I130" s="6"/>
      <c r="J130" s="42"/>
      <c r="K130" s="6"/>
      <c r="L130" s="37"/>
      <c r="M130" s="398"/>
      <c r="N130" s="277">
        <f>SUM(N124:N125)</f>
        <v>166400</v>
      </c>
      <c r="O130" s="3"/>
    </row>
    <row r="131" spans="1:22" ht="21" customHeight="1" x14ac:dyDescent="0.25">
      <c r="A131" s="18" t="s">
        <v>7</v>
      </c>
      <c r="B131" s="19"/>
      <c r="C131" s="38"/>
      <c r="D131" s="39">
        <f>D130/D89</f>
        <v>82.021052631578954</v>
      </c>
      <c r="E131" s="39"/>
      <c r="F131" s="39"/>
      <c r="G131" s="39"/>
      <c r="H131" s="39"/>
      <c r="I131" s="39"/>
      <c r="J131" s="67"/>
      <c r="K131" s="39"/>
      <c r="L131" s="37"/>
      <c r="M131" s="399"/>
      <c r="N131" s="278"/>
      <c r="O131" s="3"/>
    </row>
    <row r="132" spans="1:22" ht="21" customHeight="1" x14ac:dyDescent="0.25">
      <c r="A132" s="380" t="s">
        <v>52</v>
      </c>
      <c r="B132" s="306"/>
      <c r="C132" s="173" t="s">
        <v>151</v>
      </c>
      <c r="D132" s="17" t="s">
        <v>50</v>
      </c>
      <c r="E132" s="39"/>
      <c r="F132" s="39"/>
      <c r="G132" s="39"/>
      <c r="H132" s="39"/>
      <c r="I132" s="39"/>
      <c r="J132" s="40"/>
      <c r="K132" s="40"/>
      <c r="L132" s="37"/>
      <c r="M132" s="37"/>
      <c r="N132" s="150"/>
      <c r="O132" s="3"/>
    </row>
    <row r="133" spans="1:22" ht="21" customHeight="1" x14ac:dyDescent="0.25">
      <c r="A133" s="307"/>
      <c r="B133" s="308"/>
      <c r="C133" s="62" t="s">
        <v>60</v>
      </c>
      <c r="D133" s="17">
        <f>D131*100/930</f>
        <v>8.8194680249009618</v>
      </c>
      <c r="E133" s="39"/>
      <c r="F133" s="39"/>
      <c r="G133" s="39"/>
      <c r="H133" s="39"/>
      <c r="I133" s="39"/>
      <c r="J133" s="40"/>
      <c r="K133" s="40"/>
      <c r="L133" s="37"/>
      <c r="M133" s="37"/>
      <c r="N133" s="150"/>
      <c r="O133" s="3"/>
    </row>
    <row r="134" spans="1:22" ht="21" customHeight="1" x14ac:dyDescent="0.25">
      <c r="A134" s="371" t="s">
        <v>107</v>
      </c>
      <c r="B134" s="372"/>
      <c r="C134" s="375"/>
      <c r="D134" s="393">
        <f>D104+D120+D130</f>
        <v>24558.610499999999</v>
      </c>
      <c r="E134" s="42">
        <f t="shared" ref="E134:K134" si="10">SUM(E95:E125)</f>
        <v>582.45440000000008</v>
      </c>
      <c r="F134" s="42">
        <f t="shared" si="10"/>
        <v>424.71674999999999</v>
      </c>
      <c r="G134" s="42">
        <f t="shared" si="10"/>
        <v>693.26159999999993</v>
      </c>
      <c r="H134" s="42">
        <f t="shared" si="10"/>
        <v>289.17989999999998</v>
      </c>
      <c r="I134" s="334">
        <f t="shared" si="10"/>
        <v>2827.8611000000001</v>
      </c>
      <c r="J134" s="367">
        <f t="shared" si="10"/>
        <v>7442.5614999999998</v>
      </c>
      <c r="K134" s="367">
        <f t="shared" si="10"/>
        <v>12.962119999999999</v>
      </c>
      <c r="L134" s="80"/>
      <c r="M134" s="80"/>
      <c r="N134" s="571">
        <f>N104+N120+N130</f>
        <v>835808</v>
      </c>
    </row>
    <row r="135" spans="1:22" ht="21" customHeight="1" x14ac:dyDescent="0.25">
      <c r="A135" s="373"/>
      <c r="B135" s="374"/>
      <c r="C135" s="376"/>
      <c r="D135" s="394"/>
      <c r="E135" s="564">
        <f>E134+F134</f>
        <v>1007.1711500000001</v>
      </c>
      <c r="F135" s="565"/>
      <c r="G135" s="564">
        <f>G134+H134</f>
        <v>982.44149999999991</v>
      </c>
      <c r="H135" s="565"/>
      <c r="I135" s="336"/>
      <c r="J135" s="368"/>
      <c r="K135" s="368"/>
      <c r="L135" s="82"/>
      <c r="M135" s="82"/>
      <c r="N135" s="572"/>
    </row>
    <row r="136" spans="1:22" ht="21" customHeight="1" x14ac:dyDescent="0.25">
      <c r="A136" s="353" t="s">
        <v>77</v>
      </c>
      <c r="B136" s="354"/>
      <c r="C136" s="355"/>
      <c r="D136" s="112">
        <f>D134/D89</f>
        <v>646.27922368421048</v>
      </c>
      <c r="E136" s="165">
        <f>E134/D89</f>
        <v>15.327747368421054</v>
      </c>
      <c r="F136" s="178">
        <f>F134/D89</f>
        <v>11.176756578947368</v>
      </c>
      <c r="G136" s="165">
        <f>G134/D89</f>
        <v>18.243726315789473</v>
      </c>
      <c r="H136" s="178">
        <f>H134/D89</f>
        <v>7.6099973684210518</v>
      </c>
      <c r="I136" s="344">
        <f>I134/D89</f>
        <v>74.417397368421049</v>
      </c>
      <c r="J136" s="556">
        <f>J134/D89</f>
        <v>195.85688157894737</v>
      </c>
      <c r="K136" s="556">
        <f>K134/D89</f>
        <v>0.34110842105263156</v>
      </c>
      <c r="L136" s="80"/>
      <c r="M136" s="80"/>
      <c r="N136" s="83"/>
      <c r="P136" s="119"/>
      <c r="Q136" s="333"/>
      <c r="R136" s="333"/>
      <c r="S136" s="333"/>
      <c r="T136" s="333"/>
      <c r="U136" s="346"/>
      <c r="V136" s="346"/>
    </row>
    <row r="137" spans="1:22" ht="21" customHeight="1" x14ac:dyDescent="0.25">
      <c r="A137" s="356"/>
      <c r="B137" s="357"/>
      <c r="C137" s="358"/>
      <c r="D137" s="107"/>
      <c r="E137" s="573">
        <f>E136+F136</f>
        <v>26.50450394736842</v>
      </c>
      <c r="F137" s="574"/>
      <c r="G137" s="573">
        <f>G136+H136</f>
        <v>25.853723684210525</v>
      </c>
      <c r="H137" s="574"/>
      <c r="I137" s="345"/>
      <c r="J137" s="556"/>
      <c r="K137" s="556"/>
      <c r="L137" s="81"/>
      <c r="M137" s="81"/>
      <c r="N137" s="84"/>
      <c r="P137" s="167"/>
      <c r="Q137" s="333"/>
      <c r="R137" s="333"/>
      <c r="S137" s="396"/>
      <c r="T137" s="396"/>
      <c r="U137" s="333"/>
      <c r="V137" s="333"/>
    </row>
    <row r="138" spans="1:22" ht="21" customHeight="1" x14ac:dyDescent="0.25">
      <c r="A138" s="381" t="s">
        <v>80</v>
      </c>
      <c r="B138" s="382"/>
      <c r="C138" s="383"/>
      <c r="D138" s="151" t="s">
        <v>29</v>
      </c>
      <c r="E138" s="264" t="s">
        <v>24</v>
      </c>
      <c r="F138" s="264"/>
      <c r="G138" s="264" t="s">
        <v>25</v>
      </c>
      <c r="H138" s="264"/>
      <c r="I138" s="177" t="s">
        <v>26</v>
      </c>
      <c r="J138" s="153">
        <v>500</v>
      </c>
      <c r="K138" s="153">
        <v>0.5</v>
      </c>
      <c r="L138" s="81"/>
      <c r="M138" s="81"/>
      <c r="N138" s="84"/>
      <c r="O138" s="169"/>
      <c r="P138" s="119"/>
      <c r="Q138" s="119"/>
      <c r="R138" s="119"/>
      <c r="S138" s="119"/>
      <c r="T138" s="119"/>
      <c r="U138" s="119"/>
      <c r="V138" s="119"/>
    </row>
    <row r="139" spans="1:22" ht="21" customHeight="1" x14ac:dyDescent="0.25">
      <c r="A139" s="271" t="s">
        <v>78</v>
      </c>
      <c r="B139" s="332"/>
      <c r="C139" s="272"/>
      <c r="D139" s="41"/>
      <c r="E139" s="359">
        <f>E137*4.1</f>
        <v>108.66846618421052</v>
      </c>
      <c r="F139" s="360"/>
      <c r="G139" s="359">
        <f>G137*9</f>
        <v>232.68351315789474</v>
      </c>
      <c r="H139" s="360"/>
      <c r="I139" s="69">
        <f>I136*4.1</f>
        <v>305.11132921052626</v>
      </c>
      <c r="J139" s="337"/>
      <c r="K139" s="337"/>
      <c r="L139" s="81"/>
      <c r="M139" s="81"/>
      <c r="N139" s="84"/>
      <c r="O139" s="169"/>
      <c r="P139" s="170"/>
      <c r="Q139" s="155"/>
      <c r="R139" s="155"/>
      <c r="S139" s="155"/>
      <c r="T139" s="119"/>
      <c r="U139" s="119"/>
      <c r="V139" s="119"/>
    </row>
    <row r="140" spans="1:22" ht="21" customHeight="1" x14ac:dyDescent="0.25">
      <c r="A140" s="361" t="s">
        <v>87</v>
      </c>
      <c r="B140" s="362"/>
      <c r="C140" s="271" t="s">
        <v>59</v>
      </c>
      <c r="D140" s="272"/>
      <c r="E140" s="273">
        <f>E139*100/D136</f>
        <v>16.814476189522203</v>
      </c>
      <c r="F140" s="274"/>
      <c r="G140" s="273">
        <f>G139*100/D136</f>
        <v>36.003557693135775</v>
      </c>
      <c r="H140" s="274"/>
      <c r="I140" s="95">
        <f>I139*100/D136</f>
        <v>47.210449915315849</v>
      </c>
      <c r="J140" s="338"/>
      <c r="K140" s="338"/>
      <c r="L140" s="81"/>
      <c r="M140" s="81"/>
      <c r="N140" s="84"/>
      <c r="O140" s="169"/>
      <c r="P140" s="119"/>
      <c r="Q140" s="119"/>
      <c r="R140" s="119"/>
      <c r="S140" s="119"/>
      <c r="T140" s="119"/>
      <c r="U140" s="119"/>
      <c r="V140" s="119"/>
    </row>
    <row r="141" spans="1:22" ht="21" customHeight="1" x14ac:dyDescent="0.25">
      <c r="A141" s="363"/>
      <c r="B141" s="364"/>
      <c r="C141" s="271" t="s">
        <v>79</v>
      </c>
      <c r="D141" s="272"/>
      <c r="E141" s="271" t="s">
        <v>82</v>
      </c>
      <c r="F141" s="272"/>
      <c r="G141" s="271" t="s">
        <v>85</v>
      </c>
      <c r="H141" s="272"/>
      <c r="I141" s="151" t="s">
        <v>86</v>
      </c>
      <c r="J141" s="339"/>
      <c r="K141" s="339"/>
      <c r="L141" s="82"/>
      <c r="M141" s="82"/>
      <c r="N141" s="85"/>
      <c r="O141" s="169"/>
      <c r="P141" s="2"/>
    </row>
    <row r="142" spans="1:22" ht="21" customHeight="1" x14ac:dyDescent="0.25">
      <c r="A142" s="73"/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7"/>
      <c r="M142" s="77"/>
      <c r="N142" s="78"/>
      <c r="O142" s="169"/>
    </row>
    <row r="143" spans="1:22" ht="21" customHeight="1" x14ac:dyDescent="0.25">
      <c r="A143" s="265" t="s">
        <v>114</v>
      </c>
      <c r="B143" s="265"/>
      <c r="C143" s="265"/>
      <c r="D143" s="265"/>
      <c r="E143" s="265"/>
      <c r="F143" s="265"/>
      <c r="G143" s="265"/>
      <c r="H143" s="265"/>
      <c r="I143" s="265"/>
      <c r="J143" s="265"/>
      <c r="K143" s="265"/>
      <c r="L143" s="265"/>
      <c r="M143" s="265"/>
      <c r="N143" s="265"/>
      <c r="O143" s="169"/>
    </row>
    <row r="144" spans="1:22" ht="21" customHeight="1" x14ac:dyDescent="0.25">
      <c r="A144" s="97" t="s">
        <v>115</v>
      </c>
      <c r="B144" s="266" t="s">
        <v>116</v>
      </c>
      <c r="C144" s="266"/>
      <c r="D144" s="266"/>
      <c r="E144" s="266"/>
      <c r="F144" s="266"/>
      <c r="G144" s="266"/>
      <c r="H144" s="266"/>
      <c r="I144" s="266"/>
      <c r="J144" s="266"/>
      <c r="K144" s="266"/>
      <c r="L144" s="266"/>
      <c r="M144" s="266"/>
      <c r="N144" s="266"/>
      <c r="O144" s="169"/>
    </row>
    <row r="145" spans="1:15" ht="21" customHeight="1" x14ac:dyDescent="0.25">
      <c r="A145" s="98"/>
      <c r="B145" s="267" t="s">
        <v>224</v>
      </c>
      <c r="C145" s="267"/>
      <c r="D145" s="267"/>
      <c r="E145" s="267"/>
      <c r="F145" s="267"/>
      <c r="G145" s="267"/>
      <c r="H145" s="267"/>
      <c r="I145" s="267"/>
      <c r="J145" s="267"/>
      <c r="K145" s="267"/>
      <c r="L145" s="267"/>
      <c r="M145" s="267"/>
      <c r="N145" s="267"/>
      <c r="O145" s="169"/>
    </row>
    <row r="146" spans="1:15" ht="21" customHeight="1" x14ac:dyDescent="0.25">
      <c r="A146" s="98"/>
      <c r="B146" s="267" t="s">
        <v>225</v>
      </c>
      <c r="C146" s="267"/>
      <c r="D146" s="267"/>
      <c r="E146" s="267"/>
      <c r="F146" s="267"/>
      <c r="G146" s="267"/>
      <c r="H146" s="267"/>
      <c r="I146" s="267"/>
      <c r="J146" s="267"/>
      <c r="K146" s="267"/>
      <c r="L146" s="267"/>
      <c r="M146" s="267"/>
      <c r="N146" s="267"/>
      <c r="O146" s="169"/>
    </row>
    <row r="147" spans="1:15" ht="21" customHeight="1" x14ac:dyDescent="0.25">
      <c r="A147" s="98"/>
      <c r="B147" s="267" t="s">
        <v>226</v>
      </c>
      <c r="C147" s="267"/>
      <c r="D147" s="267"/>
      <c r="E147" s="267"/>
      <c r="F147" s="267"/>
      <c r="G147" s="267"/>
      <c r="H147" s="267"/>
      <c r="I147" s="267"/>
      <c r="J147" s="267"/>
      <c r="K147" s="267"/>
      <c r="L147" s="267"/>
      <c r="M147" s="267"/>
      <c r="N147" s="267"/>
      <c r="O147" s="169"/>
    </row>
    <row r="148" spans="1:15" ht="21" customHeight="1" x14ac:dyDescent="0.25">
      <c r="A148" s="73"/>
      <c r="B148" s="268" t="s">
        <v>129</v>
      </c>
      <c r="C148" s="268"/>
      <c r="D148" s="268"/>
      <c r="E148" s="268"/>
      <c r="F148" s="268"/>
      <c r="G148" s="268"/>
      <c r="H148" s="268"/>
      <c r="I148" s="268"/>
      <c r="J148" s="268"/>
      <c r="K148" s="268"/>
      <c r="L148" s="268"/>
      <c r="M148" s="268"/>
      <c r="N148" s="268"/>
      <c r="O148" s="169"/>
    </row>
    <row r="149" spans="1:15" ht="21" customHeight="1" x14ac:dyDescent="0.25">
      <c r="A149" s="73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7"/>
      <c r="M149" s="77"/>
      <c r="N149" s="78"/>
      <c r="O149" s="169"/>
    </row>
    <row r="150" spans="1:15" ht="21" customHeight="1" x14ac:dyDescent="0.25">
      <c r="A150" s="269" t="s">
        <v>62</v>
      </c>
      <c r="B150" s="269"/>
      <c r="C150" s="269"/>
      <c r="D150" s="269"/>
      <c r="E150" s="171"/>
      <c r="F150" s="171"/>
      <c r="G150" s="171"/>
      <c r="H150" s="171"/>
      <c r="I150" s="171"/>
      <c r="J150" s="270" t="s">
        <v>33</v>
      </c>
      <c r="K150" s="270"/>
      <c r="L150" s="270"/>
      <c r="M150" s="270"/>
      <c r="N150" s="270"/>
      <c r="O150" s="169"/>
    </row>
    <row r="151" spans="1:15" ht="21" customHeight="1" x14ac:dyDescent="0.25">
      <c r="A151" s="149"/>
      <c r="B151" s="149"/>
      <c r="C151" s="149"/>
      <c r="D151" s="171"/>
      <c r="E151" s="171"/>
      <c r="F151" s="171"/>
      <c r="G151" s="171"/>
      <c r="H151" s="172"/>
      <c r="I151" s="172"/>
      <c r="J151" s="172"/>
      <c r="K151" s="172"/>
      <c r="L151" s="172"/>
      <c r="M151" s="172"/>
      <c r="N151" s="172"/>
      <c r="O151" s="169"/>
    </row>
    <row r="152" spans="1:15" ht="21" customHeight="1" x14ac:dyDescent="0.25">
      <c r="A152" s="149"/>
      <c r="B152" s="149"/>
      <c r="C152" s="149"/>
      <c r="D152" s="171"/>
      <c r="E152" s="171"/>
      <c r="F152" s="171"/>
      <c r="G152" s="171"/>
      <c r="H152" s="172"/>
      <c r="I152" s="172"/>
      <c r="J152" s="172"/>
      <c r="K152" s="172"/>
      <c r="L152" s="172"/>
      <c r="M152" s="172"/>
      <c r="N152" s="172"/>
      <c r="O152" s="169"/>
    </row>
    <row r="153" spans="1:15" ht="21" customHeight="1" x14ac:dyDescent="0.25">
      <c r="A153" s="149"/>
      <c r="B153" s="149"/>
      <c r="C153" s="149"/>
      <c r="D153" s="171"/>
      <c r="E153" s="171"/>
      <c r="F153" s="171"/>
      <c r="G153" s="171"/>
      <c r="H153" s="172"/>
      <c r="I153" s="172"/>
      <c r="J153" s="261" t="s">
        <v>124</v>
      </c>
      <c r="K153" s="261"/>
      <c r="L153" s="261"/>
      <c r="M153" s="261"/>
      <c r="N153" s="261"/>
      <c r="O153" s="169"/>
    </row>
    <row r="154" spans="1:15" ht="21" customHeight="1" x14ac:dyDescent="0.25">
      <c r="A154" s="260" t="s">
        <v>91</v>
      </c>
      <c r="B154" s="260"/>
      <c r="C154" s="260"/>
      <c r="D154" s="260"/>
      <c r="E154" s="171"/>
      <c r="F154" s="171"/>
      <c r="G154" s="171"/>
      <c r="H154" s="172"/>
      <c r="I154" s="172"/>
      <c r="O154" s="169"/>
    </row>
    <row r="156" spans="1:15" ht="21" customHeight="1" x14ac:dyDescent="0.25">
      <c r="J156" s="261" t="s">
        <v>127</v>
      </c>
      <c r="K156" s="261"/>
      <c r="L156" s="261"/>
      <c r="M156" s="261"/>
      <c r="N156" s="261"/>
    </row>
  </sheetData>
  <mergeCells count="201">
    <mergeCell ref="J153:N153"/>
    <mergeCell ref="B145:N145"/>
    <mergeCell ref="B146:N146"/>
    <mergeCell ref="G128:G129"/>
    <mergeCell ref="H128:H129"/>
    <mergeCell ref="G126:H127"/>
    <mergeCell ref="I126:I129"/>
    <mergeCell ref="J126:J129"/>
    <mergeCell ref="G141:H141"/>
    <mergeCell ref="N126:N129"/>
    <mergeCell ref="A139:C139"/>
    <mergeCell ref="E139:F139"/>
    <mergeCell ref="G139:H139"/>
    <mergeCell ref="J139:J141"/>
    <mergeCell ref="K139:K141"/>
    <mergeCell ref="A140:B141"/>
    <mergeCell ref="A136:C137"/>
    <mergeCell ref="A138:C138"/>
    <mergeCell ref="I136:I137"/>
    <mergeCell ref="A126:A129"/>
    <mergeCell ref="B126:B129"/>
    <mergeCell ref="C126:C129"/>
    <mergeCell ref="D126:D129"/>
    <mergeCell ref="E126:F127"/>
    <mergeCell ref="A108:B108"/>
    <mergeCell ref="M120:M121"/>
    <mergeCell ref="N120:N121"/>
    <mergeCell ref="A150:D150"/>
    <mergeCell ref="J150:N150"/>
    <mergeCell ref="A132:B133"/>
    <mergeCell ref="A122:B123"/>
    <mergeCell ref="M130:M131"/>
    <mergeCell ref="K126:K129"/>
    <mergeCell ref="A124:B124"/>
    <mergeCell ref="E128:E129"/>
    <mergeCell ref="F128:F129"/>
    <mergeCell ref="L126:L129"/>
    <mergeCell ref="M126:M129"/>
    <mergeCell ref="E137:F137"/>
    <mergeCell ref="G137:H137"/>
    <mergeCell ref="E138:F138"/>
    <mergeCell ref="G138:H138"/>
    <mergeCell ref="E135:F135"/>
    <mergeCell ref="G135:H135"/>
    <mergeCell ref="K50:K51"/>
    <mergeCell ref="J52:J53"/>
    <mergeCell ref="K52:K53"/>
    <mergeCell ref="A52:C53"/>
    <mergeCell ref="A54:C54"/>
    <mergeCell ref="E53:F53"/>
    <mergeCell ref="A154:D154"/>
    <mergeCell ref="J156:N156"/>
    <mergeCell ref="C140:D140"/>
    <mergeCell ref="N134:N135"/>
    <mergeCell ref="B147:N147"/>
    <mergeCell ref="B148:N148"/>
    <mergeCell ref="E141:F141"/>
    <mergeCell ref="A134:B135"/>
    <mergeCell ref="C134:C135"/>
    <mergeCell ref="D134:D135"/>
    <mergeCell ref="I134:I135"/>
    <mergeCell ref="A143:N143"/>
    <mergeCell ref="B144:N144"/>
    <mergeCell ref="E140:F140"/>
    <mergeCell ref="G140:H140"/>
    <mergeCell ref="C141:D141"/>
    <mergeCell ref="N130:N131"/>
    <mergeCell ref="A106:B107"/>
    <mergeCell ref="E4:I7"/>
    <mergeCell ref="J4:N7"/>
    <mergeCell ref="A5:D5"/>
    <mergeCell ref="F1:N1"/>
    <mergeCell ref="D50:D51"/>
    <mergeCell ref="M46:M47"/>
    <mergeCell ref="M25:M26"/>
    <mergeCell ref="A13:N13"/>
    <mergeCell ref="A42:A45"/>
    <mergeCell ref="B42:B45"/>
    <mergeCell ref="C42:C45"/>
    <mergeCell ref="N46:N47"/>
    <mergeCell ref="A48:B49"/>
    <mergeCell ref="N25:N26"/>
    <mergeCell ref="D42:D45"/>
    <mergeCell ref="E42:F43"/>
    <mergeCell ref="G42:H43"/>
    <mergeCell ref="K42:K45"/>
    <mergeCell ref="A9:A12"/>
    <mergeCell ref="B9:B12"/>
    <mergeCell ref="C9:C12"/>
    <mergeCell ref="D9:D12"/>
    <mergeCell ref="E9:F10"/>
    <mergeCell ref="J50:J51"/>
    <mergeCell ref="G9:H10"/>
    <mergeCell ref="I9:I12"/>
    <mergeCell ref="L9:L12"/>
    <mergeCell ref="N9:N12"/>
    <mergeCell ref="E11:E12"/>
    <mergeCell ref="F11:F12"/>
    <mergeCell ref="G11:G12"/>
    <mergeCell ref="H11:H12"/>
    <mergeCell ref="M9:M12"/>
    <mergeCell ref="A3:D3"/>
    <mergeCell ref="E3:N3"/>
    <mergeCell ref="G44:G45"/>
    <mergeCell ref="A8:C8"/>
    <mergeCell ref="J9:J12"/>
    <mergeCell ref="K9:K12"/>
    <mergeCell ref="A4:D4"/>
    <mergeCell ref="A84:D85"/>
    <mergeCell ref="E85:I85"/>
    <mergeCell ref="J85:N85"/>
    <mergeCell ref="J66:N66"/>
    <mergeCell ref="A50:B51"/>
    <mergeCell ref="A6:D6"/>
    <mergeCell ref="A7:D7"/>
    <mergeCell ref="A55:C55"/>
    <mergeCell ref="E55:F55"/>
    <mergeCell ref="F82:N82"/>
    <mergeCell ref="A56:B57"/>
    <mergeCell ref="A66:D66"/>
    <mergeCell ref="H44:H45"/>
    <mergeCell ref="I50:I51"/>
    <mergeCell ref="E51:F51"/>
    <mergeCell ref="I52:I53"/>
    <mergeCell ref="L42:L45"/>
    <mergeCell ref="A27:B28"/>
    <mergeCell ref="A29:B29"/>
    <mergeCell ref="G54:H54"/>
    <mergeCell ref="A59:N59"/>
    <mergeCell ref="U52:V52"/>
    <mergeCell ref="U53:V53"/>
    <mergeCell ref="L50:L57"/>
    <mergeCell ref="M50:M57"/>
    <mergeCell ref="N50:N57"/>
    <mergeCell ref="J55:J57"/>
    <mergeCell ref="G51:H51"/>
    <mergeCell ref="N42:N45"/>
    <mergeCell ref="K55:K57"/>
    <mergeCell ref="C56:D56"/>
    <mergeCell ref="E56:F56"/>
    <mergeCell ref="E54:F54"/>
    <mergeCell ref="I42:I45"/>
    <mergeCell ref="J42:J45"/>
    <mergeCell ref="E44:E45"/>
    <mergeCell ref="F44:F45"/>
    <mergeCell ref="M42:M45"/>
    <mergeCell ref="C50:C51"/>
    <mergeCell ref="G53:H53"/>
    <mergeCell ref="G56:H56"/>
    <mergeCell ref="Q52:R52"/>
    <mergeCell ref="S52:T52"/>
    <mergeCell ref="Q53:R53"/>
    <mergeCell ref="S53:T53"/>
    <mergeCell ref="E92:E93"/>
    <mergeCell ref="A90:A93"/>
    <mergeCell ref="B90:B93"/>
    <mergeCell ref="C90:C93"/>
    <mergeCell ref="D90:D93"/>
    <mergeCell ref="J69:N69"/>
    <mergeCell ref="E86:I88"/>
    <mergeCell ref="J86:N88"/>
    <mergeCell ref="A87:D87"/>
    <mergeCell ref="A88:D88"/>
    <mergeCell ref="A70:D70"/>
    <mergeCell ref="J72:N72"/>
    <mergeCell ref="A86:D86"/>
    <mergeCell ref="L90:L93"/>
    <mergeCell ref="B60:N60"/>
    <mergeCell ref="B61:N61"/>
    <mergeCell ref="B62:N62"/>
    <mergeCell ref="B63:N63"/>
    <mergeCell ref="B64:N64"/>
    <mergeCell ref="A89:C89"/>
    <mergeCell ref="M104:M105"/>
    <mergeCell ref="N104:N105"/>
    <mergeCell ref="G55:H55"/>
    <mergeCell ref="F92:F93"/>
    <mergeCell ref="G92:G93"/>
    <mergeCell ref="J90:J93"/>
    <mergeCell ref="K90:K93"/>
    <mergeCell ref="M90:M93"/>
    <mergeCell ref="G90:H91"/>
    <mergeCell ref="I90:I93"/>
    <mergeCell ref="H92:H93"/>
    <mergeCell ref="N90:N93"/>
    <mergeCell ref="E90:F91"/>
    <mergeCell ref="E84:N84"/>
    <mergeCell ref="A94:N94"/>
    <mergeCell ref="C57:D57"/>
    <mergeCell ref="E57:F57"/>
    <mergeCell ref="G57:H57"/>
    <mergeCell ref="U136:V136"/>
    <mergeCell ref="J136:J137"/>
    <mergeCell ref="K136:K137"/>
    <mergeCell ref="J134:J135"/>
    <mergeCell ref="K134:K135"/>
    <mergeCell ref="U137:V137"/>
    <mergeCell ref="Q136:R136"/>
    <mergeCell ref="S136:T136"/>
    <mergeCell ref="Q137:R137"/>
    <mergeCell ref="S137:T137"/>
  </mergeCells>
  <pageMargins left="0.5" right="7.4999999999999997E-2" top="0.4375" bottom="0.36458333333333331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T2-T3</vt:lpstr>
      <vt:lpstr>T3-T3</vt:lpstr>
      <vt:lpstr>T4-T3</vt:lpstr>
      <vt:lpstr>T5-T3</vt:lpstr>
      <vt:lpstr>T6-T3</vt:lpstr>
      <vt:lpstr>T7-T3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HTC</dc:creator>
  <cp:lastModifiedBy>DELL</cp:lastModifiedBy>
  <cp:lastPrinted>2026-01-19T08:32:51Z</cp:lastPrinted>
  <dcterms:created xsi:type="dcterms:W3CDTF">2015-10-28T22:11:29Z</dcterms:created>
  <dcterms:modified xsi:type="dcterms:W3CDTF">2026-01-23T01:43:15Z</dcterms:modified>
</cp:coreProperties>
</file>