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46BED2C0-F404-4157-94E4-98CD90DB454E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foxz" sheetId="21" state="veryHidden" r:id=""/>
    <sheet name="T2-T2" sheetId="20" r:id="rId1"/>
    <sheet name="T3-T2" sheetId="15" r:id="rId2"/>
    <sheet name="T4-T2" sheetId="16" r:id="rId3"/>
    <sheet name="T5-T2" sheetId="17" r:id="rId4"/>
    <sheet name="T6-T2" sheetId="18" r:id="rId5"/>
    <sheet name="T7-T2" sheetId="19" r:id="rId6"/>
  </sheets>
  <calcPr calcId="191029"/>
</workbook>
</file>

<file path=xl/calcChain.xml><?xml version="1.0" encoding="utf-8"?>
<calcChain xmlns="http://schemas.openxmlformats.org/spreadsheetml/2006/main">
  <c r="N130" i="19" l="1"/>
  <c r="N125" i="19"/>
  <c r="F125" i="19"/>
  <c r="C125" i="19"/>
  <c r="H125" i="19" s="1"/>
  <c r="N118" i="19"/>
  <c r="C118" i="19"/>
  <c r="D118" i="19" s="1"/>
  <c r="N117" i="19"/>
  <c r="C117" i="19"/>
  <c r="J117" i="19" s="1"/>
  <c r="N116" i="19"/>
  <c r="G116" i="19"/>
  <c r="D116" i="19"/>
  <c r="C116" i="19"/>
  <c r="J116" i="19" s="1"/>
  <c r="N115" i="19"/>
  <c r="N120" i="19" s="1"/>
  <c r="C115" i="19"/>
  <c r="G115" i="19" s="1"/>
  <c r="N114" i="19"/>
  <c r="J114" i="19"/>
  <c r="F114" i="19"/>
  <c r="C114" i="19"/>
  <c r="H114" i="19" s="1"/>
  <c r="N113" i="19"/>
  <c r="C113" i="19"/>
  <c r="H113" i="19" s="1"/>
  <c r="N112" i="19"/>
  <c r="C112" i="19"/>
  <c r="G112" i="19" s="1"/>
  <c r="N111" i="19"/>
  <c r="C111" i="19"/>
  <c r="D111" i="19" s="1"/>
  <c r="N104" i="19"/>
  <c r="I104" i="19"/>
  <c r="C104" i="19"/>
  <c r="D104" i="19" s="1"/>
  <c r="N103" i="19"/>
  <c r="C103" i="19"/>
  <c r="D103" i="19" s="1"/>
  <c r="N102" i="19"/>
  <c r="H102" i="19"/>
  <c r="F102" i="19"/>
  <c r="D102" i="19"/>
  <c r="C102" i="19"/>
  <c r="I102" i="19" s="1"/>
  <c r="N101" i="19"/>
  <c r="K101" i="19"/>
  <c r="J101" i="19"/>
  <c r="H101" i="19"/>
  <c r="F101" i="19"/>
  <c r="D101" i="19"/>
  <c r="C101" i="19"/>
  <c r="I101" i="19" s="1"/>
  <c r="N100" i="19"/>
  <c r="K100" i="19"/>
  <c r="D100" i="19"/>
  <c r="C100" i="19"/>
  <c r="E100" i="19" s="1"/>
  <c r="N99" i="19"/>
  <c r="J99" i="19"/>
  <c r="D99" i="19"/>
  <c r="C99" i="19"/>
  <c r="K99" i="19" s="1"/>
  <c r="N98" i="19"/>
  <c r="J98" i="19"/>
  <c r="D98" i="19"/>
  <c r="C98" i="19"/>
  <c r="K98" i="19" s="1"/>
  <c r="N97" i="19"/>
  <c r="D97" i="19"/>
  <c r="C97" i="19"/>
  <c r="H97" i="19" s="1"/>
  <c r="N96" i="19"/>
  <c r="C96" i="19"/>
  <c r="G96" i="19" s="1"/>
  <c r="N95" i="19"/>
  <c r="N106" i="19" s="1"/>
  <c r="D95" i="19"/>
  <c r="C95" i="19"/>
  <c r="K95" i="19" s="1"/>
  <c r="N41" i="19"/>
  <c r="C41" i="19"/>
  <c r="J41" i="19" s="1"/>
  <c r="N40" i="19"/>
  <c r="F40" i="19"/>
  <c r="C40" i="19"/>
  <c r="H40" i="19" s="1"/>
  <c r="N39" i="19"/>
  <c r="K39" i="19"/>
  <c r="C39" i="19"/>
  <c r="E39" i="19" s="1"/>
  <c r="N38" i="19"/>
  <c r="J38" i="19"/>
  <c r="C38" i="19"/>
  <c r="D38" i="19" s="1"/>
  <c r="N37" i="19"/>
  <c r="I37" i="19"/>
  <c r="C37" i="19"/>
  <c r="D37" i="19" s="1"/>
  <c r="N36" i="19"/>
  <c r="C36" i="19"/>
  <c r="D36" i="19" s="1"/>
  <c r="N35" i="19"/>
  <c r="C35" i="19"/>
  <c r="J35" i="19" s="1"/>
  <c r="N34" i="19"/>
  <c r="C34" i="19"/>
  <c r="J34" i="19" s="1"/>
  <c r="N33" i="19"/>
  <c r="N47" i="19" s="1"/>
  <c r="E33" i="19"/>
  <c r="C33" i="19"/>
  <c r="J33" i="19" s="1"/>
  <c r="N26" i="19"/>
  <c r="K26" i="19"/>
  <c r="I26" i="19"/>
  <c r="F26" i="19"/>
  <c r="D26" i="19"/>
  <c r="C26" i="19"/>
  <c r="H26" i="19" s="1"/>
  <c r="N25" i="19"/>
  <c r="K25" i="19"/>
  <c r="D25" i="19"/>
  <c r="C25" i="19"/>
  <c r="H25" i="19" s="1"/>
  <c r="N24" i="19"/>
  <c r="C24" i="19"/>
  <c r="D24" i="19" s="1"/>
  <c r="N23" i="19"/>
  <c r="C23" i="19"/>
  <c r="J23" i="19" s="1"/>
  <c r="N22" i="19"/>
  <c r="C22" i="19"/>
  <c r="J22" i="19" s="1"/>
  <c r="N21" i="19"/>
  <c r="C21" i="19"/>
  <c r="J21" i="19" s="1"/>
  <c r="N20" i="19"/>
  <c r="C20" i="19"/>
  <c r="G20" i="19" s="1"/>
  <c r="N19" i="19"/>
  <c r="J19" i="19"/>
  <c r="E19" i="19"/>
  <c r="C19" i="19"/>
  <c r="G19" i="19" s="1"/>
  <c r="N18" i="19"/>
  <c r="C18" i="19"/>
  <c r="H18" i="19" s="1"/>
  <c r="N17" i="19"/>
  <c r="C17" i="19"/>
  <c r="D17" i="19" s="1"/>
  <c r="N16" i="19"/>
  <c r="C16" i="19"/>
  <c r="D16" i="19" s="1"/>
  <c r="I110" i="18"/>
  <c r="N128" i="18"/>
  <c r="N123" i="18"/>
  <c r="C123" i="18"/>
  <c r="F123" i="18" s="1"/>
  <c r="N116" i="18"/>
  <c r="C116" i="18"/>
  <c r="K116" i="18" s="1"/>
  <c r="N115" i="18"/>
  <c r="I115" i="18"/>
  <c r="F115" i="18"/>
  <c r="D115" i="18"/>
  <c r="C115" i="18"/>
  <c r="K115" i="18" s="1"/>
  <c r="N114" i="18"/>
  <c r="F114" i="18"/>
  <c r="D114" i="18"/>
  <c r="C114" i="18"/>
  <c r="H114" i="18" s="1"/>
  <c r="N113" i="18"/>
  <c r="D113" i="18"/>
  <c r="C113" i="18"/>
  <c r="E113" i="18" s="1"/>
  <c r="N112" i="18"/>
  <c r="C112" i="18"/>
  <c r="E112" i="18" s="1"/>
  <c r="N111" i="18"/>
  <c r="C111" i="18"/>
  <c r="E111" i="18" s="1"/>
  <c r="N110" i="18"/>
  <c r="D110" i="18"/>
  <c r="C110" i="18"/>
  <c r="F110" i="18" s="1"/>
  <c r="N109" i="18"/>
  <c r="C109" i="18"/>
  <c r="D109" i="18" s="1"/>
  <c r="N108" i="18"/>
  <c r="D108" i="18"/>
  <c r="C108" i="18"/>
  <c r="K108" i="18" s="1"/>
  <c r="N101" i="18"/>
  <c r="C101" i="18"/>
  <c r="D101" i="18" s="1"/>
  <c r="N100" i="18"/>
  <c r="C100" i="18"/>
  <c r="K100" i="18" s="1"/>
  <c r="N99" i="18"/>
  <c r="C99" i="18"/>
  <c r="K99" i="18" s="1"/>
  <c r="N98" i="18"/>
  <c r="G98" i="18"/>
  <c r="E98" i="18"/>
  <c r="D98" i="18"/>
  <c r="C98" i="18"/>
  <c r="K98" i="18" s="1"/>
  <c r="N97" i="18"/>
  <c r="G97" i="18"/>
  <c r="E97" i="18"/>
  <c r="C97" i="18"/>
  <c r="J97" i="18" s="1"/>
  <c r="N96" i="18"/>
  <c r="D96" i="18"/>
  <c r="C96" i="18"/>
  <c r="I96" i="18" s="1"/>
  <c r="N95" i="18"/>
  <c r="H95" i="18"/>
  <c r="F95" i="18"/>
  <c r="C95" i="18"/>
  <c r="J95" i="18" s="1"/>
  <c r="N94" i="18"/>
  <c r="D94" i="18"/>
  <c r="C94" i="18"/>
  <c r="I94" i="18" s="1"/>
  <c r="N93" i="18"/>
  <c r="D93" i="18"/>
  <c r="C93" i="18"/>
  <c r="H93" i="18" s="1"/>
  <c r="N92" i="18"/>
  <c r="D92" i="18"/>
  <c r="C92" i="18"/>
  <c r="G92" i="18" s="1"/>
  <c r="N91" i="18"/>
  <c r="C91" i="18"/>
  <c r="E91" i="18" s="1"/>
  <c r="N37" i="18"/>
  <c r="K37" i="18"/>
  <c r="I37" i="18"/>
  <c r="F37" i="18"/>
  <c r="D37" i="18"/>
  <c r="C37" i="18"/>
  <c r="H37" i="18" s="1"/>
  <c r="N36" i="18"/>
  <c r="C36" i="18"/>
  <c r="F36" i="18" s="1"/>
  <c r="N35" i="18"/>
  <c r="F35" i="18"/>
  <c r="D35" i="18"/>
  <c r="C35" i="18"/>
  <c r="H35" i="18" s="1"/>
  <c r="N34" i="18"/>
  <c r="K34" i="18"/>
  <c r="J34" i="18"/>
  <c r="E34" i="18"/>
  <c r="D34" i="18"/>
  <c r="C34" i="18"/>
  <c r="G34" i="18" s="1"/>
  <c r="N33" i="18"/>
  <c r="F33" i="18"/>
  <c r="D33" i="18"/>
  <c r="C33" i="18"/>
  <c r="H33" i="18" s="1"/>
  <c r="N32" i="18"/>
  <c r="D32" i="18"/>
  <c r="C32" i="18"/>
  <c r="G32" i="18" s="1"/>
  <c r="N31" i="18"/>
  <c r="J31" i="18"/>
  <c r="E31" i="18"/>
  <c r="C31" i="18"/>
  <c r="K31" i="18" s="1"/>
  <c r="N24" i="18"/>
  <c r="C24" i="18"/>
  <c r="D24" i="18" s="1"/>
  <c r="N23" i="18"/>
  <c r="C23" i="18"/>
  <c r="D23" i="18" s="1"/>
  <c r="N22" i="18"/>
  <c r="C22" i="18"/>
  <c r="D22" i="18" s="1"/>
  <c r="N21" i="18"/>
  <c r="D21" i="18"/>
  <c r="C21" i="18"/>
  <c r="F21" i="18" s="1"/>
  <c r="N20" i="18"/>
  <c r="J20" i="18"/>
  <c r="C20" i="18"/>
  <c r="D20" i="18" s="1"/>
  <c r="N19" i="18"/>
  <c r="C19" i="18"/>
  <c r="K19" i="18" s="1"/>
  <c r="N18" i="18"/>
  <c r="C18" i="18"/>
  <c r="J18" i="18" s="1"/>
  <c r="N17" i="18"/>
  <c r="C17" i="18"/>
  <c r="J17" i="18" s="1"/>
  <c r="N16" i="18"/>
  <c r="C16" i="18"/>
  <c r="J16" i="18" s="1"/>
  <c r="N15" i="18"/>
  <c r="C15" i="18"/>
  <c r="D15" i="18" s="1"/>
  <c r="N14" i="18"/>
  <c r="K14" i="18"/>
  <c r="D14" i="18"/>
  <c r="C14" i="18"/>
  <c r="E14" i="18" s="1"/>
  <c r="N125" i="17"/>
  <c r="N130" i="17" s="1"/>
  <c r="K125" i="17"/>
  <c r="H125" i="17"/>
  <c r="F125" i="17"/>
  <c r="C125" i="17"/>
  <c r="I125" i="17" s="1"/>
  <c r="N118" i="17"/>
  <c r="I118" i="17"/>
  <c r="C118" i="17"/>
  <c r="D118" i="17" s="1"/>
  <c r="N117" i="17"/>
  <c r="C117" i="17"/>
  <c r="D117" i="17" s="1"/>
  <c r="N116" i="17"/>
  <c r="H116" i="17"/>
  <c r="F116" i="17"/>
  <c r="D116" i="17"/>
  <c r="C116" i="17"/>
  <c r="J116" i="17" s="1"/>
  <c r="N115" i="17"/>
  <c r="C115" i="17"/>
  <c r="J115" i="17" s="1"/>
  <c r="N114" i="17"/>
  <c r="D114" i="17"/>
  <c r="C114" i="17"/>
  <c r="J114" i="17" s="1"/>
  <c r="N113" i="17"/>
  <c r="H113" i="17"/>
  <c r="F113" i="17"/>
  <c r="D113" i="17"/>
  <c r="C113" i="17"/>
  <c r="I113" i="17" s="1"/>
  <c r="N112" i="17"/>
  <c r="C112" i="17"/>
  <c r="D112" i="17" s="1"/>
  <c r="N111" i="17"/>
  <c r="C111" i="17"/>
  <c r="D111" i="17" s="1"/>
  <c r="N110" i="17"/>
  <c r="C110" i="17"/>
  <c r="D110" i="17" s="1"/>
  <c r="N103" i="17"/>
  <c r="K103" i="17"/>
  <c r="J103" i="17"/>
  <c r="F103" i="17"/>
  <c r="D103" i="17"/>
  <c r="C103" i="17"/>
  <c r="H103" i="17" s="1"/>
  <c r="N102" i="17"/>
  <c r="K102" i="17"/>
  <c r="J102" i="17"/>
  <c r="F102" i="17"/>
  <c r="D102" i="17"/>
  <c r="C102" i="17"/>
  <c r="H102" i="17" s="1"/>
  <c r="N101" i="17"/>
  <c r="K101" i="17"/>
  <c r="J101" i="17"/>
  <c r="F101" i="17"/>
  <c r="D101" i="17"/>
  <c r="C101" i="17"/>
  <c r="H101" i="17" s="1"/>
  <c r="N100" i="17"/>
  <c r="H100" i="17"/>
  <c r="F100" i="17"/>
  <c r="C100" i="17"/>
  <c r="I100" i="17" s="1"/>
  <c r="N99" i="17"/>
  <c r="D99" i="17"/>
  <c r="C99" i="17"/>
  <c r="E99" i="17" s="1"/>
  <c r="N98" i="17"/>
  <c r="C98" i="17"/>
  <c r="D98" i="17" s="1"/>
  <c r="N97" i="17"/>
  <c r="C97" i="17"/>
  <c r="D97" i="17" s="1"/>
  <c r="N96" i="17"/>
  <c r="K96" i="17"/>
  <c r="C96" i="17"/>
  <c r="D96" i="17" s="1"/>
  <c r="N95" i="17"/>
  <c r="D95" i="17"/>
  <c r="C95" i="17"/>
  <c r="G95" i="17" s="1"/>
  <c r="N94" i="17"/>
  <c r="C94" i="17"/>
  <c r="E94" i="17" s="1"/>
  <c r="N38" i="17"/>
  <c r="C38" i="17"/>
  <c r="J38" i="17" s="1"/>
  <c r="N37" i="17"/>
  <c r="D37" i="17"/>
  <c r="C37" i="17"/>
  <c r="E37" i="17" s="1"/>
  <c r="N36" i="17"/>
  <c r="D36" i="17"/>
  <c r="C36" i="17"/>
  <c r="F36" i="17" s="1"/>
  <c r="N35" i="17"/>
  <c r="C35" i="17"/>
  <c r="D35" i="17" s="1"/>
  <c r="N34" i="17"/>
  <c r="K34" i="17"/>
  <c r="C34" i="17"/>
  <c r="D34" i="17" s="1"/>
  <c r="N33" i="17"/>
  <c r="K33" i="17"/>
  <c r="C33" i="17"/>
  <c r="D33" i="17" s="1"/>
  <c r="N32" i="17"/>
  <c r="G32" i="17"/>
  <c r="D32" i="17"/>
  <c r="C32" i="17"/>
  <c r="N31" i="17"/>
  <c r="D31" i="17"/>
  <c r="C31" i="17"/>
  <c r="E31" i="17" s="1"/>
  <c r="N24" i="17"/>
  <c r="J24" i="17"/>
  <c r="D24" i="17"/>
  <c r="C24" i="17"/>
  <c r="K24" i="17" s="1"/>
  <c r="N23" i="17"/>
  <c r="J23" i="17"/>
  <c r="D23" i="17"/>
  <c r="C23" i="17"/>
  <c r="K23" i="17" s="1"/>
  <c r="N22" i="17"/>
  <c r="J22" i="17"/>
  <c r="D22" i="17"/>
  <c r="C22" i="17"/>
  <c r="K22" i="17" s="1"/>
  <c r="N21" i="17"/>
  <c r="H21" i="17"/>
  <c r="F21" i="17"/>
  <c r="D21" i="17"/>
  <c r="C21" i="17"/>
  <c r="I21" i="17" s="1"/>
  <c r="N20" i="17"/>
  <c r="C20" i="17"/>
  <c r="J20" i="17" s="1"/>
  <c r="N19" i="17"/>
  <c r="D19" i="17"/>
  <c r="C19" i="17"/>
  <c r="E19" i="17" s="1"/>
  <c r="N18" i="17"/>
  <c r="C18" i="17"/>
  <c r="D18" i="17" s="1"/>
  <c r="N17" i="17"/>
  <c r="C17" i="17"/>
  <c r="D17" i="17" s="1"/>
  <c r="N16" i="17"/>
  <c r="H16" i="17"/>
  <c r="C16" i="17"/>
  <c r="D16" i="17" s="1"/>
  <c r="N15" i="17"/>
  <c r="C15" i="17"/>
  <c r="D15" i="17" s="1"/>
  <c r="N14" i="17"/>
  <c r="J14" i="17"/>
  <c r="C14" i="17"/>
  <c r="D14" i="17" s="1"/>
  <c r="N133" i="16"/>
  <c r="N128" i="16"/>
  <c r="F128" i="16"/>
  <c r="C128" i="16"/>
  <c r="I128" i="16" s="1"/>
  <c r="N121" i="16"/>
  <c r="I121" i="16"/>
  <c r="F121" i="16"/>
  <c r="D121" i="16"/>
  <c r="C121" i="16"/>
  <c r="H121" i="16" s="1"/>
  <c r="N120" i="16"/>
  <c r="D120" i="16"/>
  <c r="C120" i="16"/>
  <c r="H120" i="16" s="1"/>
  <c r="N119" i="16"/>
  <c r="D119" i="16"/>
  <c r="C119" i="16"/>
  <c r="E119" i="16" s="1"/>
  <c r="N118" i="16"/>
  <c r="F118" i="16"/>
  <c r="D118" i="16"/>
  <c r="C118" i="16"/>
  <c r="I118" i="16" s="1"/>
  <c r="N117" i="16"/>
  <c r="K117" i="16"/>
  <c r="E117" i="16"/>
  <c r="C117" i="16"/>
  <c r="J117" i="16" s="1"/>
  <c r="N116" i="16"/>
  <c r="K116" i="16"/>
  <c r="J116" i="16"/>
  <c r="E116" i="16"/>
  <c r="C116" i="16"/>
  <c r="I116" i="16" s="1"/>
  <c r="N115" i="16"/>
  <c r="C115" i="16"/>
  <c r="F115" i="16" s="1"/>
  <c r="N114" i="16"/>
  <c r="C114" i="16"/>
  <c r="D114" i="16" s="1"/>
  <c r="N113" i="16"/>
  <c r="C113" i="16"/>
  <c r="D113" i="16" s="1"/>
  <c r="N112" i="16"/>
  <c r="E112" i="16"/>
  <c r="C112" i="16"/>
  <c r="K112" i="16" s="1"/>
  <c r="N105" i="16"/>
  <c r="I105" i="16"/>
  <c r="F105" i="16"/>
  <c r="D105" i="16"/>
  <c r="C105" i="16"/>
  <c r="H105" i="16" s="1"/>
  <c r="N104" i="16"/>
  <c r="C104" i="16"/>
  <c r="D104" i="16" s="1"/>
  <c r="N103" i="16"/>
  <c r="G103" i="16"/>
  <c r="E103" i="16"/>
  <c r="D103" i="16"/>
  <c r="C103" i="16"/>
  <c r="J103" i="16" s="1"/>
  <c r="N102" i="16"/>
  <c r="K102" i="16"/>
  <c r="C102" i="16"/>
  <c r="J102" i="16" s="1"/>
  <c r="N101" i="16"/>
  <c r="C101" i="16"/>
  <c r="I101" i="16" s="1"/>
  <c r="N100" i="16"/>
  <c r="F100" i="16"/>
  <c r="C100" i="16"/>
  <c r="D100" i="16" s="1"/>
  <c r="I100" i="16" s="1"/>
  <c r="N99" i="16"/>
  <c r="J99" i="16"/>
  <c r="F99" i="16"/>
  <c r="C99" i="16"/>
  <c r="I99" i="16" s="1"/>
  <c r="N98" i="16"/>
  <c r="H98" i="16"/>
  <c r="D98" i="16"/>
  <c r="C98" i="16"/>
  <c r="N97" i="16"/>
  <c r="C97" i="16"/>
  <c r="H97" i="16" s="1"/>
  <c r="N96" i="16"/>
  <c r="C96" i="16"/>
  <c r="D96" i="16" s="1"/>
  <c r="N41" i="16"/>
  <c r="K41" i="16"/>
  <c r="D41" i="16"/>
  <c r="C41" i="16"/>
  <c r="I41" i="16" s="1"/>
  <c r="N40" i="16"/>
  <c r="D40" i="16"/>
  <c r="C40" i="16"/>
  <c r="F40" i="16" s="1"/>
  <c r="N39" i="16"/>
  <c r="H39" i="16"/>
  <c r="D39" i="16"/>
  <c r="C39" i="16"/>
  <c r="F39" i="16" s="1"/>
  <c r="N38" i="16"/>
  <c r="J38" i="16"/>
  <c r="H38" i="16"/>
  <c r="D38" i="16"/>
  <c r="C38" i="16"/>
  <c r="F38" i="16" s="1"/>
  <c r="N37" i="16"/>
  <c r="C37" i="16"/>
  <c r="D37" i="16" s="1"/>
  <c r="N36" i="16"/>
  <c r="C36" i="16"/>
  <c r="H36" i="16" s="1"/>
  <c r="N35" i="16"/>
  <c r="C35" i="16"/>
  <c r="D35" i="16" s="1"/>
  <c r="N34" i="16"/>
  <c r="C34" i="16"/>
  <c r="K34" i="16" s="1"/>
  <c r="N27" i="16"/>
  <c r="C27" i="16"/>
  <c r="D27" i="16" s="1"/>
  <c r="N26" i="16"/>
  <c r="C26" i="16"/>
  <c r="K26" i="16" s="1"/>
  <c r="N25" i="16"/>
  <c r="F25" i="16"/>
  <c r="D25" i="16"/>
  <c r="C25" i="16"/>
  <c r="J25" i="16" s="1"/>
  <c r="N24" i="16"/>
  <c r="K24" i="16"/>
  <c r="G24" i="16"/>
  <c r="D24" i="16"/>
  <c r="C24" i="16"/>
  <c r="J24" i="16" s="1"/>
  <c r="N23" i="16"/>
  <c r="C23" i="16"/>
  <c r="J23" i="16" s="1"/>
  <c r="N22" i="16"/>
  <c r="E22" i="16"/>
  <c r="C22" i="16"/>
  <c r="K22" i="16" s="1"/>
  <c r="N21" i="16"/>
  <c r="C21" i="16"/>
  <c r="G21" i="16" s="1"/>
  <c r="N20" i="16"/>
  <c r="D20" i="16"/>
  <c r="C20" i="16"/>
  <c r="H20" i="16" s="1"/>
  <c r="N19" i="16"/>
  <c r="D19" i="16"/>
  <c r="I19" i="16" s="1"/>
  <c r="C19" i="16"/>
  <c r="K19" i="16" s="1"/>
  <c r="N18" i="16"/>
  <c r="C18" i="16"/>
  <c r="G18" i="16" s="1"/>
  <c r="N17" i="16"/>
  <c r="D17" i="16"/>
  <c r="C17" i="16"/>
  <c r="F17" i="16" s="1"/>
  <c r="N16" i="16"/>
  <c r="E16" i="16"/>
  <c r="D16" i="16"/>
  <c r="C16" i="16"/>
  <c r="K16" i="16" s="1"/>
  <c r="C24" i="20"/>
  <c r="K24" i="20" s="1"/>
  <c r="N102" i="15"/>
  <c r="C102" i="15"/>
  <c r="D102" i="15" s="1"/>
  <c r="C25" i="15"/>
  <c r="K25" i="15" s="1"/>
  <c r="N23" i="20"/>
  <c r="C23" i="20"/>
  <c r="D23" i="20" s="1"/>
  <c r="C103" i="20"/>
  <c r="I103" i="20" s="1"/>
  <c r="N100" i="20"/>
  <c r="C100" i="20"/>
  <c r="H100" i="20" s="1"/>
  <c r="N19" i="20"/>
  <c r="C19" i="20"/>
  <c r="H19" i="20" s="1"/>
  <c r="J17" i="16" l="1"/>
  <c r="N29" i="16"/>
  <c r="N51" i="16" s="1"/>
  <c r="J20" i="16"/>
  <c r="J21" i="16"/>
  <c r="G23" i="16"/>
  <c r="K25" i="16"/>
  <c r="N47" i="16"/>
  <c r="H41" i="16"/>
  <c r="F97" i="16"/>
  <c r="K100" i="16"/>
  <c r="J101" i="16"/>
  <c r="E102" i="16"/>
  <c r="G114" i="16"/>
  <c r="J115" i="16"/>
  <c r="I120" i="16"/>
  <c r="K128" i="16"/>
  <c r="I115" i="16"/>
  <c r="N26" i="17"/>
  <c r="E20" i="17"/>
  <c r="H22" i="17"/>
  <c r="H23" i="17"/>
  <c r="H24" i="17"/>
  <c r="F38" i="17"/>
  <c r="K38" i="17"/>
  <c r="N105" i="17"/>
  <c r="D100" i="17"/>
  <c r="I101" i="17"/>
  <c r="I102" i="17"/>
  <c r="I103" i="17"/>
  <c r="G111" i="17"/>
  <c r="G114" i="17"/>
  <c r="E115" i="17"/>
  <c r="I116" i="17"/>
  <c r="E117" i="17"/>
  <c r="H118" i="17"/>
  <c r="D125" i="17"/>
  <c r="D130" i="17" s="1"/>
  <c r="D131" i="17" s="1"/>
  <c r="D133" i="17" s="1"/>
  <c r="J125" i="17"/>
  <c r="F16" i="18"/>
  <c r="K16" i="18"/>
  <c r="F17" i="18"/>
  <c r="K17" i="18"/>
  <c r="F18" i="18"/>
  <c r="K18" i="18"/>
  <c r="E19" i="18"/>
  <c r="D31" i="18"/>
  <c r="I34" i="18"/>
  <c r="I35" i="18"/>
  <c r="J36" i="18"/>
  <c r="N103" i="18"/>
  <c r="H94" i="18"/>
  <c r="D95" i="18"/>
  <c r="I95" i="18" s="1"/>
  <c r="H96" i="18"/>
  <c r="D97" i="18"/>
  <c r="J98" i="18"/>
  <c r="J99" i="18"/>
  <c r="J100" i="18"/>
  <c r="J108" i="18"/>
  <c r="D111" i="18"/>
  <c r="J115" i="18"/>
  <c r="J116" i="18"/>
  <c r="H17" i="19"/>
  <c r="F18" i="19"/>
  <c r="K19" i="19"/>
  <c r="E20" i="19"/>
  <c r="D21" i="19"/>
  <c r="F25" i="19"/>
  <c r="E95" i="19"/>
  <c r="D96" i="19"/>
  <c r="D106" i="19" s="1"/>
  <c r="I103" i="19"/>
  <c r="D112" i="19"/>
  <c r="D113" i="19"/>
  <c r="D115" i="19"/>
  <c r="J125" i="19"/>
  <c r="K21" i="16"/>
  <c r="K23" i="16"/>
  <c r="J41" i="16"/>
  <c r="I97" i="16"/>
  <c r="K101" i="16"/>
  <c r="K115" i="16"/>
  <c r="K120" i="16"/>
  <c r="G20" i="17"/>
  <c r="I22" i="17"/>
  <c r="I23" i="17"/>
  <c r="I24" i="17"/>
  <c r="H38" i="17"/>
  <c r="N120" i="17"/>
  <c r="G115" i="17"/>
  <c r="G117" i="17"/>
  <c r="H16" i="18"/>
  <c r="H17" i="18"/>
  <c r="H18" i="18"/>
  <c r="G19" i="18"/>
  <c r="K36" i="18"/>
  <c r="K94" i="18"/>
  <c r="K96" i="18"/>
  <c r="N118" i="18"/>
  <c r="J18" i="19"/>
  <c r="D19" i="19"/>
  <c r="K20" i="19"/>
  <c r="E21" i="19"/>
  <c r="I25" i="19"/>
  <c r="J26" i="19"/>
  <c r="D33" i="19"/>
  <c r="D39" i="19"/>
  <c r="D40" i="19"/>
  <c r="J95" i="19"/>
  <c r="F113" i="19"/>
  <c r="K114" i="19"/>
  <c r="E115" i="19"/>
  <c r="K125" i="19"/>
  <c r="K97" i="16"/>
  <c r="N107" i="16"/>
  <c r="N137" i="16" s="1"/>
  <c r="I38" i="17"/>
  <c r="D105" i="17"/>
  <c r="I115" i="17"/>
  <c r="I16" i="18"/>
  <c r="I17" i="18"/>
  <c r="J19" i="18"/>
  <c r="K18" i="19"/>
  <c r="N28" i="19"/>
  <c r="N51" i="19" s="1"/>
  <c r="G21" i="19"/>
  <c r="J25" i="19"/>
  <c r="J113" i="19"/>
  <c r="D114" i="19"/>
  <c r="K115" i="19"/>
  <c r="E116" i="19"/>
  <c r="D125" i="19"/>
  <c r="D130" i="19" s="1"/>
  <c r="D131" i="19" s="1"/>
  <c r="D133" i="19" s="1"/>
  <c r="J16" i="16"/>
  <c r="H17" i="16"/>
  <c r="D18" i="16"/>
  <c r="J19" i="16"/>
  <c r="I20" i="16"/>
  <c r="D21" i="16"/>
  <c r="D23" i="16"/>
  <c r="I25" i="16"/>
  <c r="E34" i="16"/>
  <c r="J39" i="16"/>
  <c r="H40" i="16"/>
  <c r="F41" i="16"/>
  <c r="D97" i="16"/>
  <c r="K99" i="16"/>
  <c r="J100" i="16"/>
  <c r="E101" i="16"/>
  <c r="K103" i="16"/>
  <c r="K105" i="16"/>
  <c r="N123" i="16"/>
  <c r="H118" i="16"/>
  <c r="K119" i="16"/>
  <c r="F120" i="16"/>
  <c r="K121" i="16"/>
  <c r="J128" i="16"/>
  <c r="K14" i="17"/>
  <c r="D20" i="17"/>
  <c r="D26" i="17" s="1"/>
  <c r="D27" i="17" s="1"/>
  <c r="D29" i="17" s="1"/>
  <c r="F22" i="17"/>
  <c r="F23" i="17"/>
  <c r="F24" i="17"/>
  <c r="N44" i="17"/>
  <c r="D38" i="17"/>
  <c r="D94" i="17"/>
  <c r="E114" i="17"/>
  <c r="D115" i="17"/>
  <c r="N26" i="18"/>
  <c r="N47" i="18" s="1"/>
  <c r="D16" i="18"/>
  <c r="D17" i="18"/>
  <c r="D18" i="18"/>
  <c r="I18" i="18" s="1"/>
  <c r="D19" i="18"/>
  <c r="K20" i="18"/>
  <c r="I21" i="18"/>
  <c r="N43" i="18"/>
  <c r="D36" i="18"/>
  <c r="J37" i="18"/>
  <c r="D91" i="18"/>
  <c r="F94" i="18"/>
  <c r="K95" i="18"/>
  <c r="F96" i="18"/>
  <c r="I99" i="18"/>
  <c r="I100" i="18"/>
  <c r="I101" i="18"/>
  <c r="E108" i="18"/>
  <c r="E132" i="18" s="1"/>
  <c r="E134" i="18" s="1"/>
  <c r="D112" i="18"/>
  <c r="I116" i="18"/>
  <c r="D123" i="18"/>
  <c r="D128" i="18" s="1"/>
  <c r="D129" i="18" s="1"/>
  <c r="D131" i="18" s="1"/>
  <c r="D18" i="19"/>
  <c r="D20" i="19"/>
  <c r="K113" i="19"/>
  <c r="D107" i="19"/>
  <c r="D109" i="19" s="1"/>
  <c r="N134" i="19"/>
  <c r="K16" i="19"/>
  <c r="I23" i="19"/>
  <c r="I35" i="19"/>
  <c r="I41" i="19"/>
  <c r="K111" i="19"/>
  <c r="I117" i="19"/>
  <c r="J16" i="19"/>
  <c r="H22" i="19"/>
  <c r="H24" i="19"/>
  <c r="H35" i="19"/>
  <c r="I99" i="19"/>
  <c r="H118" i="19"/>
  <c r="E16" i="19"/>
  <c r="F22" i="19"/>
  <c r="F23" i="19"/>
  <c r="F24" i="19"/>
  <c r="F34" i="19"/>
  <c r="F35" i="19"/>
  <c r="G36" i="19"/>
  <c r="K37" i="19"/>
  <c r="F41" i="19"/>
  <c r="H98" i="19"/>
  <c r="H134" i="19" s="1"/>
  <c r="H136" i="19" s="1"/>
  <c r="G99" i="19"/>
  <c r="G100" i="19"/>
  <c r="G134" i="19" s="1"/>
  <c r="K103" i="19"/>
  <c r="K104" i="19"/>
  <c r="E111" i="19"/>
  <c r="F117" i="19"/>
  <c r="F118" i="19"/>
  <c r="I22" i="19"/>
  <c r="I24" i="19"/>
  <c r="I34" i="19"/>
  <c r="I118" i="19"/>
  <c r="H23" i="19"/>
  <c r="H34" i="19"/>
  <c r="H41" i="19"/>
  <c r="I98" i="19"/>
  <c r="J100" i="19"/>
  <c r="J111" i="19"/>
  <c r="H117" i="19"/>
  <c r="D22" i="19"/>
  <c r="D23" i="19"/>
  <c r="D34" i="19"/>
  <c r="D35" i="19"/>
  <c r="J37" i="19"/>
  <c r="K38" i="19"/>
  <c r="D41" i="19"/>
  <c r="F98" i="19"/>
  <c r="E99" i="19"/>
  <c r="E134" i="19" s="1"/>
  <c r="J103" i="19"/>
  <c r="J104" i="19"/>
  <c r="D117" i="19"/>
  <c r="D120" i="19" s="1"/>
  <c r="D121" i="19" s="1"/>
  <c r="D123" i="19" s="1"/>
  <c r="H37" i="19"/>
  <c r="J39" i="19"/>
  <c r="H104" i="19"/>
  <c r="I18" i="19"/>
  <c r="I19" i="19"/>
  <c r="J20" i="19"/>
  <c r="K21" i="19"/>
  <c r="K22" i="19"/>
  <c r="K23" i="19"/>
  <c r="K33" i="19"/>
  <c r="K34" i="19"/>
  <c r="K35" i="19"/>
  <c r="F37" i="19"/>
  <c r="E38" i="19"/>
  <c r="G39" i="19"/>
  <c r="I40" i="19"/>
  <c r="K41" i="19"/>
  <c r="F103" i="19"/>
  <c r="F104" i="19"/>
  <c r="I113" i="19"/>
  <c r="I114" i="19"/>
  <c r="J115" i="19"/>
  <c r="K116" i="19"/>
  <c r="K117" i="19"/>
  <c r="I125" i="19"/>
  <c r="G38" i="19"/>
  <c r="H103" i="19"/>
  <c r="N132" i="18"/>
  <c r="D26" i="18"/>
  <c r="G20" i="18"/>
  <c r="G47" i="18" s="1"/>
  <c r="K22" i="18"/>
  <c r="K23" i="18"/>
  <c r="K24" i="18"/>
  <c r="H99" i="18"/>
  <c r="H100" i="18"/>
  <c r="H101" i="18"/>
  <c r="H116" i="18"/>
  <c r="J14" i="18"/>
  <c r="E20" i="18"/>
  <c r="E47" i="18" s="1"/>
  <c r="H21" i="18"/>
  <c r="J22" i="18"/>
  <c r="J23" i="18"/>
  <c r="J24" i="18"/>
  <c r="I36" i="18"/>
  <c r="F99" i="18"/>
  <c r="F100" i="18"/>
  <c r="F101" i="18"/>
  <c r="G109" i="18"/>
  <c r="K110" i="18"/>
  <c r="K111" i="18"/>
  <c r="K112" i="18"/>
  <c r="F116" i="18"/>
  <c r="K123" i="18"/>
  <c r="I22" i="18"/>
  <c r="I23" i="18"/>
  <c r="I24" i="18"/>
  <c r="D99" i="18"/>
  <c r="D100" i="18"/>
  <c r="J110" i="18"/>
  <c r="J111" i="18"/>
  <c r="J112" i="18"/>
  <c r="K113" i="18"/>
  <c r="D116" i="18"/>
  <c r="D118" i="18" s="1"/>
  <c r="D119" i="18" s="1"/>
  <c r="D121" i="18" s="1"/>
  <c r="J123" i="18"/>
  <c r="H22" i="18"/>
  <c r="H23" i="18"/>
  <c r="H24" i="18"/>
  <c r="K91" i="18"/>
  <c r="I111" i="18"/>
  <c r="I132" i="18" s="1"/>
  <c r="I134" i="18" s="1"/>
  <c r="I112" i="18"/>
  <c r="J113" i="18"/>
  <c r="I123" i="18"/>
  <c r="H15" i="18"/>
  <c r="F22" i="18"/>
  <c r="F47" i="18" s="1"/>
  <c r="F49" i="18" s="1"/>
  <c r="F23" i="18"/>
  <c r="F24" i="18"/>
  <c r="I33" i="18"/>
  <c r="J91" i="18"/>
  <c r="J132" i="18" s="1"/>
  <c r="J134" i="18" s="1"/>
  <c r="J94" i="18"/>
  <c r="J96" i="18"/>
  <c r="K97" i="18"/>
  <c r="H110" i="18"/>
  <c r="G111" i="18"/>
  <c r="G112" i="18"/>
  <c r="G113" i="18"/>
  <c r="I114" i="18"/>
  <c r="H123" i="18"/>
  <c r="D106" i="17"/>
  <c r="D108" i="17" s="1"/>
  <c r="D44" i="17"/>
  <c r="D45" i="17" s="1"/>
  <c r="D47" i="17" s="1"/>
  <c r="N134" i="17"/>
  <c r="D120" i="17"/>
  <c r="D121" i="17" s="1"/>
  <c r="D123" i="17" s="1"/>
  <c r="J17" i="17"/>
  <c r="K36" i="17"/>
  <c r="J97" i="17"/>
  <c r="E14" i="17"/>
  <c r="I17" i="17"/>
  <c r="J18" i="17"/>
  <c r="K19" i="17"/>
  <c r="H33" i="17"/>
  <c r="H34" i="17"/>
  <c r="H35" i="17"/>
  <c r="J36" i="17"/>
  <c r="H96" i="17"/>
  <c r="G97" i="17"/>
  <c r="G134" i="17" s="1"/>
  <c r="J98" i="17"/>
  <c r="K99" i="17"/>
  <c r="K110" i="17"/>
  <c r="H112" i="17"/>
  <c r="K113" i="17"/>
  <c r="F118" i="17"/>
  <c r="J33" i="17"/>
  <c r="J34" i="17"/>
  <c r="J96" i="17"/>
  <c r="I33" i="17"/>
  <c r="I34" i="17"/>
  <c r="I35" i="17"/>
  <c r="I96" i="17"/>
  <c r="I134" i="17" s="1"/>
  <c r="I136" i="17" s="1"/>
  <c r="K98" i="17"/>
  <c r="H17" i="17"/>
  <c r="G18" i="17"/>
  <c r="J19" i="17"/>
  <c r="K20" i="17"/>
  <c r="K31" i="17"/>
  <c r="F33" i="17"/>
  <c r="F34" i="17"/>
  <c r="F35" i="17"/>
  <c r="I36" i="17"/>
  <c r="K94" i="17"/>
  <c r="F96" i="17"/>
  <c r="F134" i="17" s="1"/>
  <c r="F136" i="17" s="1"/>
  <c r="E97" i="17"/>
  <c r="G98" i="17"/>
  <c r="J99" i="17"/>
  <c r="J110" i="17"/>
  <c r="J113" i="17"/>
  <c r="K114" i="17"/>
  <c r="K115" i="17"/>
  <c r="K116" i="17"/>
  <c r="K17" i="17"/>
  <c r="K97" i="17"/>
  <c r="K18" i="17"/>
  <c r="G15" i="17"/>
  <c r="F17" i="17"/>
  <c r="E18" i="17"/>
  <c r="G19" i="17"/>
  <c r="J31" i="17"/>
  <c r="H36" i="17"/>
  <c r="G37" i="17"/>
  <c r="J94" i="17"/>
  <c r="E98" i="17"/>
  <c r="G99" i="17"/>
  <c r="E110" i="17"/>
  <c r="H19" i="16"/>
  <c r="J22" i="16"/>
  <c r="K17" i="16"/>
  <c r="F19" i="16"/>
  <c r="F20" i="16"/>
  <c r="E21" i="16"/>
  <c r="G22" i="16"/>
  <c r="G51" i="16" s="1"/>
  <c r="I23" i="16"/>
  <c r="I24" i="16"/>
  <c r="J26" i="16"/>
  <c r="J34" i="16"/>
  <c r="D36" i="16"/>
  <c r="K37" i="16"/>
  <c r="K38" i="16"/>
  <c r="K39" i="16"/>
  <c r="H99" i="16"/>
  <c r="H137" i="16" s="1"/>
  <c r="H139" i="16" s="1"/>
  <c r="H100" i="16"/>
  <c r="G101" i="16"/>
  <c r="G102" i="16"/>
  <c r="J112" i="16"/>
  <c r="H115" i="16"/>
  <c r="G116" i="16"/>
  <c r="G117" i="16"/>
  <c r="H128" i="16"/>
  <c r="I26" i="16"/>
  <c r="J37" i="16"/>
  <c r="K96" i="16"/>
  <c r="I104" i="16"/>
  <c r="K113" i="16"/>
  <c r="I17" i="16"/>
  <c r="D22" i="16"/>
  <c r="D29" i="16" s="1"/>
  <c r="E23" i="16"/>
  <c r="E24" i="16"/>
  <c r="H26" i="16"/>
  <c r="H27" i="16"/>
  <c r="D34" i="16"/>
  <c r="D47" i="16" s="1"/>
  <c r="D48" i="16" s="1"/>
  <c r="D50" i="16" s="1"/>
  <c r="G37" i="16"/>
  <c r="I38" i="16"/>
  <c r="I39" i="16"/>
  <c r="I40" i="16"/>
  <c r="J96" i="16"/>
  <c r="J97" i="16"/>
  <c r="D99" i="16"/>
  <c r="D101" i="16"/>
  <c r="D102" i="16"/>
  <c r="H104" i="16"/>
  <c r="J105" i="16"/>
  <c r="D112" i="16"/>
  <c r="J113" i="16"/>
  <c r="D115" i="16"/>
  <c r="D116" i="16"/>
  <c r="D117" i="16"/>
  <c r="J119" i="16"/>
  <c r="J120" i="16"/>
  <c r="J121" i="16"/>
  <c r="D128" i="16"/>
  <c r="D133" i="16" s="1"/>
  <c r="D134" i="16" s="1"/>
  <c r="D136" i="16" s="1"/>
  <c r="I27" i="16"/>
  <c r="F26" i="16"/>
  <c r="F27" i="16"/>
  <c r="G35" i="16"/>
  <c r="E37" i="16"/>
  <c r="E96" i="16"/>
  <c r="E137" i="16" s="1"/>
  <c r="F104" i="16"/>
  <c r="F137" i="16" s="1"/>
  <c r="F139" i="16" s="1"/>
  <c r="I113" i="16"/>
  <c r="I119" i="16"/>
  <c r="K20" i="16"/>
  <c r="D26" i="16"/>
  <c r="D25" i="15"/>
  <c r="F25" i="15"/>
  <c r="I25" i="15"/>
  <c r="K103" i="20"/>
  <c r="J103" i="20"/>
  <c r="J25" i="15"/>
  <c r="F24" i="20"/>
  <c r="H24" i="20"/>
  <c r="D24" i="20"/>
  <c r="D103" i="20"/>
  <c r="K23" i="20"/>
  <c r="I24" i="20"/>
  <c r="F103" i="20"/>
  <c r="J24" i="20"/>
  <c r="J102" i="15"/>
  <c r="K102" i="15"/>
  <c r="I102" i="15"/>
  <c r="H102" i="15"/>
  <c r="F102" i="15"/>
  <c r="J23" i="20"/>
  <c r="I23" i="20"/>
  <c r="F23" i="20"/>
  <c r="F100" i="20"/>
  <c r="D100" i="20"/>
  <c r="K100" i="20"/>
  <c r="I100" i="20"/>
  <c r="J100" i="20"/>
  <c r="K19" i="20"/>
  <c r="J19" i="20"/>
  <c r="I19" i="20"/>
  <c r="F19" i="20"/>
  <c r="D19" i="20"/>
  <c r="K51" i="16" l="1"/>
  <c r="K53" i="16" s="1"/>
  <c r="H51" i="16"/>
  <c r="H53" i="16" s="1"/>
  <c r="E134" i="17"/>
  <c r="H48" i="17"/>
  <c r="H50" i="17" s="1"/>
  <c r="H134" i="17"/>
  <c r="H136" i="17" s="1"/>
  <c r="G132" i="18"/>
  <c r="D47" i="19"/>
  <c r="D48" i="19" s="1"/>
  <c r="D50" i="19" s="1"/>
  <c r="G51" i="19"/>
  <c r="D107" i="16"/>
  <c r="I137" i="16"/>
  <c r="I139" i="16" s="1"/>
  <c r="F51" i="16"/>
  <c r="F53" i="16" s="1"/>
  <c r="I47" i="18"/>
  <c r="I49" i="18" s="1"/>
  <c r="K47" i="18"/>
  <c r="K49" i="18" s="1"/>
  <c r="J134" i="19"/>
  <c r="J136" i="19" s="1"/>
  <c r="D28" i="19"/>
  <c r="H51" i="19"/>
  <c r="H53" i="19" s="1"/>
  <c r="F51" i="19"/>
  <c r="F53" i="19" s="1"/>
  <c r="H132" i="18"/>
  <c r="H134" i="18" s="1"/>
  <c r="K134" i="19"/>
  <c r="K136" i="19" s="1"/>
  <c r="N48" i="17"/>
  <c r="J51" i="16"/>
  <c r="J53" i="16" s="1"/>
  <c r="J134" i="17"/>
  <c r="J136" i="17" s="1"/>
  <c r="D103" i="18"/>
  <c r="F132" i="18"/>
  <c r="D43" i="18"/>
  <c r="D44" i="18" s="1"/>
  <c r="D46" i="18" s="1"/>
  <c r="G52" i="19"/>
  <c r="G53" i="19"/>
  <c r="D29" i="19"/>
  <c r="D31" i="19" s="1"/>
  <c r="D51" i="19"/>
  <c r="D53" i="19" s="1"/>
  <c r="E136" i="19"/>
  <c r="I134" i="19"/>
  <c r="I136" i="19" s="1"/>
  <c r="D134" i="19"/>
  <c r="D136" i="19" s="1"/>
  <c r="J51" i="19"/>
  <c r="J53" i="19" s="1"/>
  <c r="E51" i="19"/>
  <c r="I51" i="19"/>
  <c r="I53" i="19" s="1"/>
  <c r="F134" i="19"/>
  <c r="F136" i="19" s="1"/>
  <c r="G135" i="19"/>
  <c r="G136" i="19"/>
  <c r="K51" i="19"/>
  <c r="K53" i="19" s="1"/>
  <c r="G134" i="18"/>
  <c r="G133" i="18"/>
  <c r="D132" i="18"/>
  <c r="D134" i="18" s="1"/>
  <c r="D104" i="18"/>
  <c r="D106" i="18" s="1"/>
  <c r="E49" i="18"/>
  <c r="E48" i="18"/>
  <c r="F134" i="18"/>
  <c r="E133" i="18"/>
  <c r="I52" i="18"/>
  <c r="I53" i="18" s="1"/>
  <c r="D27" i="18"/>
  <c r="D29" i="18" s="1"/>
  <c r="D47" i="18"/>
  <c r="D49" i="18" s="1"/>
  <c r="H47" i="18"/>
  <c r="H49" i="18" s="1"/>
  <c r="K132" i="18"/>
  <c r="K134" i="18" s="1"/>
  <c r="E135" i="18"/>
  <c r="G49" i="18"/>
  <c r="G48" i="18"/>
  <c r="J47" i="18"/>
  <c r="J49" i="18" s="1"/>
  <c r="I137" i="18"/>
  <c r="E135" i="17"/>
  <c r="E136" i="17"/>
  <c r="G135" i="17"/>
  <c r="G136" i="17"/>
  <c r="E48" i="17"/>
  <c r="K134" i="17"/>
  <c r="K136" i="17" s="1"/>
  <c r="I48" i="17"/>
  <c r="I50" i="17" s="1"/>
  <c r="K48" i="17"/>
  <c r="K50" i="17" s="1"/>
  <c r="D48" i="17"/>
  <c r="D50" i="17" s="1"/>
  <c r="J48" i="17"/>
  <c r="J50" i="17" s="1"/>
  <c r="G48" i="17"/>
  <c r="I139" i="17"/>
  <c r="D134" i="17"/>
  <c r="D136" i="17" s="1"/>
  <c r="F48" i="17"/>
  <c r="F50" i="17" s="1"/>
  <c r="D108" i="16"/>
  <c r="D110" i="16" s="1"/>
  <c r="I142" i="16"/>
  <c r="G52" i="16"/>
  <c r="G53" i="16"/>
  <c r="E139" i="16"/>
  <c r="E138" i="16"/>
  <c r="I51" i="16"/>
  <c r="I53" i="16" s="1"/>
  <c r="E51" i="16"/>
  <c r="D30" i="16"/>
  <c r="D32" i="16" s="1"/>
  <c r="D51" i="16"/>
  <c r="D53" i="16" s="1"/>
  <c r="D123" i="16"/>
  <c r="D124" i="16" s="1"/>
  <c r="D126" i="16" s="1"/>
  <c r="J137" i="16"/>
  <c r="J139" i="16" s="1"/>
  <c r="G137" i="16"/>
  <c r="K137" i="16"/>
  <c r="K139" i="16" s="1"/>
  <c r="C116" i="15"/>
  <c r="H116" i="15" s="1"/>
  <c r="N116" i="15"/>
  <c r="N115" i="15"/>
  <c r="C115" i="15"/>
  <c r="F115" i="15" s="1"/>
  <c r="N101" i="15"/>
  <c r="C101" i="15"/>
  <c r="F101" i="15" s="1"/>
  <c r="N23" i="15"/>
  <c r="C23" i="15"/>
  <c r="E23" i="15" s="1"/>
  <c r="N22" i="15"/>
  <c r="C22" i="15"/>
  <c r="F22" i="15" s="1"/>
  <c r="N21" i="15"/>
  <c r="C21" i="15"/>
  <c r="F21" i="15" s="1"/>
  <c r="N126" i="20"/>
  <c r="C126" i="20"/>
  <c r="F126" i="20" s="1"/>
  <c r="N104" i="20"/>
  <c r="C104" i="20"/>
  <c r="D104" i="20" s="1"/>
  <c r="N103" i="20"/>
  <c r="N40" i="20"/>
  <c r="C40" i="20"/>
  <c r="D40" i="20" s="1"/>
  <c r="D137" i="16" l="1"/>
  <c r="D139" i="16" s="1"/>
  <c r="I143" i="16" s="1"/>
  <c r="E52" i="19"/>
  <c r="E53" i="19"/>
  <c r="G54" i="19"/>
  <c r="E135" i="19"/>
  <c r="G137" i="19"/>
  <c r="E137" i="19"/>
  <c r="I56" i="19"/>
  <c r="I57" i="19" s="1"/>
  <c r="I139" i="19"/>
  <c r="I140" i="19" s="1"/>
  <c r="G50" i="18"/>
  <c r="G135" i="18"/>
  <c r="E50" i="18"/>
  <c r="E137" i="18"/>
  <c r="I138" i="18"/>
  <c r="G49" i="17"/>
  <c r="G50" i="17"/>
  <c r="G137" i="17"/>
  <c r="I140" i="17"/>
  <c r="E137" i="17"/>
  <c r="E49" i="17"/>
  <c r="E50" i="17"/>
  <c r="I53" i="17"/>
  <c r="I54" i="17" s="1"/>
  <c r="I56" i="16"/>
  <c r="I57" i="16" s="1"/>
  <c r="E52" i="16"/>
  <c r="E53" i="16"/>
  <c r="G54" i="16"/>
  <c r="G139" i="16"/>
  <c r="G138" i="16"/>
  <c r="E140" i="16"/>
  <c r="J116" i="15"/>
  <c r="D115" i="15"/>
  <c r="I40" i="20"/>
  <c r="I126" i="20"/>
  <c r="D116" i="15"/>
  <c r="I116" i="15"/>
  <c r="D101" i="15"/>
  <c r="K116" i="15"/>
  <c r="F116" i="15"/>
  <c r="K115" i="15"/>
  <c r="I115" i="15"/>
  <c r="H115" i="15"/>
  <c r="J115" i="15"/>
  <c r="K101" i="15"/>
  <c r="I101" i="15"/>
  <c r="H101" i="15"/>
  <c r="J101" i="15"/>
  <c r="D23" i="15"/>
  <c r="D22" i="15"/>
  <c r="K23" i="15"/>
  <c r="J23" i="15"/>
  <c r="I23" i="15"/>
  <c r="J22" i="15"/>
  <c r="I22" i="15"/>
  <c r="H22" i="15"/>
  <c r="K22" i="15"/>
  <c r="D21" i="15"/>
  <c r="K21" i="15"/>
  <c r="I21" i="15"/>
  <c r="H21" i="15"/>
  <c r="J21" i="15"/>
  <c r="D126" i="20"/>
  <c r="J126" i="20"/>
  <c r="H126" i="20"/>
  <c r="K126" i="20"/>
  <c r="K104" i="20"/>
  <c r="J104" i="20"/>
  <c r="I104" i="20"/>
  <c r="H104" i="20"/>
  <c r="F104" i="20"/>
  <c r="J40" i="20"/>
  <c r="K40" i="20"/>
  <c r="H40" i="20"/>
  <c r="F40" i="20"/>
  <c r="E54" i="19" l="1"/>
  <c r="G56" i="19"/>
  <c r="G57" i="19" s="1"/>
  <c r="E139" i="19"/>
  <c r="G139" i="19"/>
  <c r="G140" i="19" s="1"/>
  <c r="G52" i="18"/>
  <c r="G53" i="18" s="1"/>
  <c r="E52" i="18"/>
  <c r="G137" i="18"/>
  <c r="G138" i="18" s="1"/>
  <c r="E138" i="18"/>
  <c r="E51" i="17"/>
  <c r="G51" i="17"/>
  <c r="G139" i="17"/>
  <c r="G140" i="17" s="1"/>
  <c r="E139" i="17"/>
  <c r="E142" i="16"/>
  <c r="E54" i="16"/>
  <c r="G56" i="16"/>
  <c r="G57" i="16" s="1"/>
  <c r="G140" i="16"/>
  <c r="N20" i="20"/>
  <c r="C20" i="20"/>
  <c r="E20" i="20" s="1"/>
  <c r="E140" i="19" l="1"/>
  <c r="E56" i="19"/>
  <c r="E53" i="18"/>
  <c r="E140" i="17"/>
  <c r="E53" i="17"/>
  <c r="G53" i="17"/>
  <c r="G54" i="17" s="1"/>
  <c r="E143" i="16"/>
  <c r="E56" i="16"/>
  <c r="G142" i="16"/>
  <c r="K20" i="20"/>
  <c r="J20" i="20"/>
  <c r="D20" i="20"/>
  <c r="G20" i="20"/>
  <c r="E57" i="19" l="1"/>
  <c r="E54" i="17"/>
  <c r="E57" i="16"/>
  <c r="X140" i="16"/>
  <c r="N131" i="20"/>
  <c r="D131" i="20"/>
  <c r="D132" i="20" s="1"/>
  <c r="D134" i="20" s="1"/>
  <c r="N119" i="20"/>
  <c r="C119" i="20"/>
  <c r="J119" i="20" s="1"/>
  <c r="N118" i="20"/>
  <c r="C118" i="20"/>
  <c r="J118" i="20" s="1"/>
  <c r="N117" i="20"/>
  <c r="C117" i="20"/>
  <c r="J117" i="20" s="1"/>
  <c r="N116" i="20"/>
  <c r="C116" i="20"/>
  <c r="G116" i="20" s="1"/>
  <c r="N115" i="20"/>
  <c r="C115" i="20"/>
  <c r="H115" i="20" s="1"/>
  <c r="N114" i="20"/>
  <c r="C114" i="20"/>
  <c r="D114" i="20" s="1"/>
  <c r="N113" i="20"/>
  <c r="C113" i="20"/>
  <c r="I113" i="20" s="1"/>
  <c r="N112" i="20"/>
  <c r="C112" i="20"/>
  <c r="G112" i="20" s="1"/>
  <c r="N111" i="20"/>
  <c r="C111" i="20"/>
  <c r="J111" i="20" s="1"/>
  <c r="N102" i="20"/>
  <c r="C102" i="20"/>
  <c r="I102" i="20" s="1"/>
  <c r="N101" i="20"/>
  <c r="C101" i="20"/>
  <c r="E101" i="20" s="1"/>
  <c r="N99" i="20"/>
  <c r="C99" i="20"/>
  <c r="D99" i="20" s="1"/>
  <c r="N98" i="20"/>
  <c r="C98" i="20"/>
  <c r="I98" i="20" s="1"/>
  <c r="N97" i="20"/>
  <c r="C97" i="20"/>
  <c r="D97" i="20" s="1"/>
  <c r="N96" i="20"/>
  <c r="C96" i="20"/>
  <c r="D96" i="20" s="1"/>
  <c r="N95" i="20"/>
  <c r="C95" i="20"/>
  <c r="D95" i="20" s="1"/>
  <c r="N39" i="20"/>
  <c r="C39" i="20"/>
  <c r="D39" i="20" s="1"/>
  <c r="N38" i="20"/>
  <c r="C38" i="20"/>
  <c r="D38" i="20" s="1"/>
  <c r="N37" i="20"/>
  <c r="C37" i="20"/>
  <c r="N36" i="20"/>
  <c r="C36" i="20"/>
  <c r="H36" i="20" s="1"/>
  <c r="N35" i="20"/>
  <c r="C35" i="20"/>
  <c r="I35" i="20" s="1"/>
  <c r="N34" i="20"/>
  <c r="C34" i="20"/>
  <c r="H34" i="20" s="1"/>
  <c r="N33" i="20"/>
  <c r="C33" i="20"/>
  <c r="D33" i="20" s="1"/>
  <c r="N32" i="20"/>
  <c r="C32" i="20"/>
  <c r="D32" i="20" s="1"/>
  <c r="N25" i="20"/>
  <c r="C25" i="20"/>
  <c r="F25" i="20" s="1"/>
  <c r="N24" i="20"/>
  <c r="N22" i="20"/>
  <c r="C22" i="20"/>
  <c r="D22" i="20" s="1"/>
  <c r="N21" i="20"/>
  <c r="C21" i="20"/>
  <c r="E21" i="20" s="1"/>
  <c r="N18" i="20"/>
  <c r="C18" i="20"/>
  <c r="E18" i="20" s="1"/>
  <c r="N17" i="20"/>
  <c r="C17" i="20"/>
  <c r="I17" i="20" s="1"/>
  <c r="N16" i="20"/>
  <c r="C16" i="20"/>
  <c r="D16" i="20" s="1"/>
  <c r="N15" i="20"/>
  <c r="C15" i="20"/>
  <c r="D15" i="20" s="1"/>
  <c r="N14" i="20"/>
  <c r="C14" i="20"/>
  <c r="J14" i="20" s="1"/>
  <c r="E111" i="20" l="1"/>
  <c r="D37" i="20"/>
  <c r="E37" i="20"/>
  <c r="D17" i="20"/>
  <c r="H98" i="20"/>
  <c r="J35" i="20"/>
  <c r="J34" i="20"/>
  <c r="I34" i="20"/>
  <c r="D14" i="20"/>
  <c r="H17" i="20"/>
  <c r="K37" i="20"/>
  <c r="H113" i="20"/>
  <c r="K18" i="20"/>
  <c r="G117" i="20"/>
  <c r="J37" i="20"/>
  <c r="I36" i="20"/>
  <c r="F36" i="20"/>
  <c r="E117" i="20"/>
  <c r="G21" i="20"/>
  <c r="D117" i="20"/>
  <c r="H119" i="20"/>
  <c r="D21" i="20"/>
  <c r="F119" i="20"/>
  <c r="I119" i="20"/>
  <c r="J17" i="20"/>
  <c r="D36" i="20"/>
  <c r="F115" i="20"/>
  <c r="K32" i="20"/>
  <c r="D101" i="20"/>
  <c r="D115" i="20"/>
  <c r="F34" i="20"/>
  <c r="K38" i="20"/>
  <c r="D111" i="20"/>
  <c r="J21" i="20"/>
  <c r="D34" i="20"/>
  <c r="H35" i="20"/>
  <c r="J38" i="20"/>
  <c r="K95" i="20"/>
  <c r="H102" i="20"/>
  <c r="J95" i="20"/>
  <c r="D98" i="20"/>
  <c r="D113" i="20"/>
  <c r="F35" i="20"/>
  <c r="I38" i="20"/>
  <c r="F102" i="20"/>
  <c r="F118" i="20"/>
  <c r="E14" i="20"/>
  <c r="F17" i="20"/>
  <c r="D35" i="20"/>
  <c r="H38" i="20"/>
  <c r="E95" i="20"/>
  <c r="D102" i="20"/>
  <c r="D118" i="20"/>
  <c r="D25" i="20"/>
  <c r="D116" i="20"/>
  <c r="E116" i="20"/>
  <c r="D112" i="20"/>
  <c r="H97" i="20"/>
  <c r="I118" i="20"/>
  <c r="H118" i="20"/>
  <c r="D119" i="20"/>
  <c r="N121" i="20"/>
  <c r="N106" i="20"/>
  <c r="G37" i="20"/>
  <c r="K39" i="20"/>
  <c r="J39" i="20"/>
  <c r="I39" i="20"/>
  <c r="H39" i="20"/>
  <c r="N27" i="20"/>
  <c r="G15" i="20"/>
  <c r="J18" i="20"/>
  <c r="G18" i="20"/>
  <c r="D18" i="20"/>
  <c r="N46" i="20"/>
  <c r="K98" i="20"/>
  <c r="K99" i="20"/>
  <c r="I22" i="20"/>
  <c r="G32" i="20"/>
  <c r="J99" i="20"/>
  <c r="I114" i="20"/>
  <c r="K115" i="20"/>
  <c r="K22" i="20"/>
  <c r="J22" i="20"/>
  <c r="H22" i="20"/>
  <c r="I25" i="20"/>
  <c r="E32" i="20"/>
  <c r="F38" i="20"/>
  <c r="F39" i="20"/>
  <c r="G99" i="20"/>
  <c r="J101" i="20"/>
  <c r="H114" i="20"/>
  <c r="J115" i="20"/>
  <c r="K116" i="20"/>
  <c r="K113" i="20"/>
  <c r="J98" i="20"/>
  <c r="J113" i="20"/>
  <c r="K14" i="20"/>
  <c r="H16" i="20"/>
  <c r="K17" i="20"/>
  <c r="F22" i="20"/>
  <c r="H25" i="20"/>
  <c r="G33" i="20"/>
  <c r="K34" i="20"/>
  <c r="K35" i="20"/>
  <c r="G96" i="20"/>
  <c r="F98" i="20"/>
  <c r="E99" i="20"/>
  <c r="G101" i="20"/>
  <c r="K111" i="20"/>
  <c r="F113" i="20"/>
  <c r="F114" i="20"/>
  <c r="I115" i="20"/>
  <c r="J116" i="20"/>
  <c r="K117" i="20"/>
  <c r="K118" i="20"/>
  <c r="K119" i="20"/>
  <c r="D46" i="20" l="1"/>
  <c r="D47" i="20" s="1"/>
  <c r="D49" i="20" s="1"/>
  <c r="E135" i="20"/>
  <c r="E137" i="20" s="1"/>
  <c r="D106" i="20"/>
  <c r="D107" i="20" s="1"/>
  <c r="D109" i="20" s="1"/>
  <c r="E50" i="20"/>
  <c r="E52" i="20" s="1"/>
  <c r="I135" i="20"/>
  <c r="I137" i="20" s="1"/>
  <c r="D27" i="20"/>
  <c r="D28" i="20" s="1"/>
  <c r="D30" i="20" s="1"/>
  <c r="H50" i="20"/>
  <c r="H52" i="20" s="1"/>
  <c r="N50" i="20"/>
  <c r="J135" i="20"/>
  <c r="J137" i="20" s="1"/>
  <c r="D121" i="20"/>
  <c r="D122" i="20" s="1"/>
  <c r="D124" i="20" s="1"/>
  <c r="N135" i="20"/>
  <c r="K135" i="20"/>
  <c r="K137" i="20" s="1"/>
  <c r="G135" i="20"/>
  <c r="G137" i="20" s="1"/>
  <c r="J50" i="20"/>
  <c r="J52" i="20" s="1"/>
  <c r="I50" i="20"/>
  <c r="I52" i="20" s="1"/>
  <c r="K50" i="20"/>
  <c r="K52" i="20" s="1"/>
  <c r="F50" i="20"/>
  <c r="F52" i="20" s="1"/>
  <c r="H135" i="20"/>
  <c r="H137" i="20" s="1"/>
  <c r="G50" i="20"/>
  <c r="F135" i="20"/>
  <c r="F137" i="20" s="1"/>
  <c r="I140" i="20" l="1"/>
  <c r="D50" i="20"/>
  <c r="D52" i="20" s="1"/>
  <c r="D135" i="20"/>
  <c r="D137" i="20" s="1"/>
  <c r="G136" i="20"/>
  <c r="I55" i="20"/>
  <c r="E51" i="20"/>
  <c r="E53" i="20"/>
  <c r="E138" i="20"/>
  <c r="G138" i="20"/>
  <c r="G51" i="20"/>
  <c r="G52" i="20"/>
  <c r="E136" i="20"/>
  <c r="I56" i="20" l="1"/>
  <c r="E55" i="20"/>
  <c r="G53" i="20"/>
  <c r="E140" i="20"/>
  <c r="G140" i="20"/>
  <c r="G141" i="20" s="1"/>
  <c r="E56" i="20" l="1"/>
  <c r="G55" i="20"/>
  <c r="G56" i="20" s="1"/>
  <c r="E141" i="20"/>
  <c r="N124" i="15" l="1"/>
  <c r="C124" i="15"/>
  <c r="K124" i="15" s="1"/>
  <c r="N39" i="15"/>
  <c r="C39" i="15"/>
  <c r="D124" i="15" l="1"/>
  <c r="I124" i="15"/>
  <c r="J124" i="15"/>
  <c r="D39" i="15"/>
  <c r="I39" i="15"/>
  <c r="F39" i="15"/>
  <c r="H39" i="15"/>
  <c r="H124" i="15"/>
  <c r="J39" i="15"/>
  <c r="K39" i="15"/>
  <c r="F124" i="15"/>
  <c r="N95" i="15" l="1"/>
  <c r="C95" i="15"/>
  <c r="D95" i="15" s="1"/>
  <c r="N16" i="15"/>
  <c r="C16" i="15"/>
  <c r="D16" i="15" s="1"/>
  <c r="H95" i="15" l="1"/>
  <c r="H16" i="15"/>
  <c r="N110" i="15" l="1"/>
  <c r="C110" i="15"/>
  <c r="G110" i="15" s="1"/>
  <c r="N94" i="15"/>
  <c r="C94" i="15"/>
  <c r="D94" i="15" s="1"/>
  <c r="N33" i="15"/>
  <c r="C33" i="15"/>
  <c r="D33" i="15" s="1"/>
  <c r="D110" i="15" l="1"/>
  <c r="G94" i="15"/>
  <c r="G33" i="15"/>
  <c r="N113" i="15" l="1"/>
  <c r="C113" i="15"/>
  <c r="D113" i="15" s="1"/>
  <c r="N99" i="15"/>
  <c r="C99" i="15"/>
  <c r="D99" i="15" s="1"/>
  <c r="N37" i="15"/>
  <c r="C37" i="15"/>
  <c r="E37" i="15" s="1"/>
  <c r="N36" i="15"/>
  <c r="C36" i="15"/>
  <c r="D36" i="15" s="1"/>
  <c r="N35" i="15"/>
  <c r="C35" i="15"/>
  <c r="I35" i="15" s="1"/>
  <c r="N34" i="15"/>
  <c r="C34" i="15"/>
  <c r="H34" i="15" s="1"/>
  <c r="N20" i="15"/>
  <c r="C20" i="15"/>
  <c r="D20" i="15" s="1"/>
  <c r="D34" i="15" l="1"/>
  <c r="J35" i="15"/>
  <c r="H35" i="15"/>
  <c r="D35" i="15"/>
  <c r="J34" i="15"/>
  <c r="I34" i="15"/>
  <c r="F34" i="15"/>
  <c r="F35" i="15"/>
  <c r="D37" i="15"/>
  <c r="I113" i="15"/>
  <c r="H113" i="15"/>
  <c r="F113" i="15"/>
  <c r="I99" i="15"/>
  <c r="H99" i="15"/>
  <c r="F99" i="15"/>
  <c r="K37" i="15"/>
  <c r="J37" i="15"/>
  <c r="I37" i="15"/>
  <c r="I36" i="15"/>
  <c r="H36" i="15"/>
  <c r="F36" i="15"/>
  <c r="K34" i="15"/>
  <c r="K35" i="15"/>
  <c r="I20" i="15"/>
  <c r="H20" i="15"/>
  <c r="F20" i="15"/>
  <c r="N129" i="15" l="1"/>
  <c r="N117" i="15"/>
  <c r="C117" i="15"/>
  <c r="D117" i="15" s="1"/>
  <c r="N114" i="15"/>
  <c r="C114" i="15"/>
  <c r="D114" i="15" s="1"/>
  <c r="N112" i="15"/>
  <c r="C112" i="15"/>
  <c r="D112" i="15" s="1"/>
  <c r="N111" i="15"/>
  <c r="C111" i="15"/>
  <c r="J111" i="15" s="1"/>
  <c r="N109" i="15"/>
  <c r="C109" i="15"/>
  <c r="J109" i="15" s="1"/>
  <c r="N100" i="15"/>
  <c r="C100" i="15"/>
  <c r="G100" i="15" s="1"/>
  <c r="N98" i="15"/>
  <c r="C98" i="15"/>
  <c r="D98" i="15" s="1"/>
  <c r="N97" i="15"/>
  <c r="C97" i="15"/>
  <c r="D97" i="15" s="1"/>
  <c r="N96" i="15"/>
  <c r="C96" i="15"/>
  <c r="N93" i="15"/>
  <c r="C93" i="15"/>
  <c r="J93" i="15" s="1"/>
  <c r="N38" i="15"/>
  <c r="C38" i="15"/>
  <c r="J38" i="15" s="1"/>
  <c r="N32" i="15"/>
  <c r="C32" i="15"/>
  <c r="J32" i="15" s="1"/>
  <c r="N25" i="15"/>
  <c r="N24" i="15"/>
  <c r="C24" i="15"/>
  <c r="E24" i="15" s="1"/>
  <c r="N19" i="15"/>
  <c r="C19" i="15"/>
  <c r="I19" i="15" s="1"/>
  <c r="N18" i="15"/>
  <c r="C18" i="15"/>
  <c r="K18" i="15" s="1"/>
  <c r="N17" i="15"/>
  <c r="C17" i="15"/>
  <c r="I17" i="15" s="1"/>
  <c r="N15" i="15"/>
  <c r="C15" i="15"/>
  <c r="N14" i="15"/>
  <c r="C14" i="15"/>
  <c r="K14" i="15" s="1"/>
  <c r="D96" i="15" l="1"/>
  <c r="I96" i="15"/>
  <c r="J112" i="15"/>
  <c r="I112" i="15"/>
  <c r="D93" i="15"/>
  <c r="J17" i="15"/>
  <c r="D17" i="15"/>
  <c r="D14" i="15"/>
  <c r="E14" i="15"/>
  <c r="D18" i="15"/>
  <c r="K109" i="15"/>
  <c r="K93" i="15"/>
  <c r="E93" i="15"/>
  <c r="E98" i="15"/>
  <c r="F17" i="15"/>
  <c r="E109" i="15"/>
  <c r="D109" i="15"/>
  <c r="F112" i="15"/>
  <c r="D24" i="15"/>
  <c r="J14" i="15"/>
  <c r="K17" i="15"/>
  <c r="I24" i="15"/>
  <c r="F96" i="15"/>
  <c r="K112" i="15"/>
  <c r="D129" i="15"/>
  <c r="D130" i="15" s="1"/>
  <c r="D132" i="15" s="1"/>
  <c r="D15" i="15"/>
  <c r="G15" i="15"/>
  <c r="J18" i="15"/>
  <c r="E18" i="15"/>
  <c r="K96" i="15"/>
  <c r="I114" i="15"/>
  <c r="J19" i="15"/>
  <c r="D19" i="15"/>
  <c r="N119" i="15"/>
  <c r="J117" i="15"/>
  <c r="N27" i="15"/>
  <c r="N104" i="15"/>
  <c r="K97" i="15"/>
  <c r="E97" i="15"/>
  <c r="N45" i="15"/>
  <c r="K38" i="15"/>
  <c r="G38" i="15"/>
  <c r="E38" i="15"/>
  <c r="D38" i="15"/>
  <c r="K19" i="15"/>
  <c r="G19" i="15"/>
  <c r="E19" i="15"/>
  <c r="K32" i="15"/>
  <c r="K24" i="15"/>
  <c r="E32" i="15"/>
  <c r="E100" i="15"/>
  <c r="I111" i="15"/>
  <c r="K114" i="15"/>
  <c r="H17" i="15"/>
  <c r="G18" i="15"/>
  <c r="J24" i="15"/>
  <c r="D32" i="15"/>
  <c r="D100" i="15"/>
  <c r="D111" i="15"/>
  <c r="H112" i="15"/>
  <c r="J114" i="15"/>
  <c r="K117" i="15"/>
  <c r="H25" i="15"/>
  <c r="I97" i="15"/>
  <c r="J98" i="15"/>
  <c r="K100" i="15"/>
  <c r="F114" i="15"/>
  <c r="E117" i="15"/>
  <c r="G24" i="15"/>
  <c r="J96" i="15"/>
  <c r="J97" i="15"/>
  <c r="K98" i="15"/>
  <c r="H114" i="15"/>
  <c r="G117" i="15"/>
  <c r="H96" i="15"/>
  <c r="G97" i="15"/>
  <c r="G98" i="15"/>
  <c r="J100" i="15"/>
  <c r="I100" i="15"/>
  <c r="K111" i="15"/>
  <c r="F49" i="15" l="1"/>
  <c r="F51" i="15" s="1"/>
  <c r="I49" i="15"/>
  <c r="I51" i="15" s="1"/>
  <c r="F133" i="15"/>
  <c r="F135" i="15" s="1"/>
  <c r="D27" i="15"/>
  <c r="D28" i="15" s="1"/>
  <c r="D30" i="15" s="1"/>
  <c r="D119" i="15"/>
  <c r="D120" i="15" s="1"/>
  <c r="D122" i="15" s="1"/>
  <c r="H49" i="15"/>
  <c r="H51" i="15" s="1"/>
  <c r="N133" i="15"/>
  <c r="D45" i="15"/>
  <c r="D46" i="15" s="1"/>
  <c r="D48" i="15" s="1"/>
  <c r="G49" i="15"/>
  <c r="G51" i="15" s="1"/>
  <c r="N49" i="15"/>
  <c r="D104" i="15"/>
  <c r="D105" i="15" s="1"/>
  <c r="D107" i="15" s="1"/>
  <c r="H133" i="15"/>
  <c r="H135" i="15" s="1"/>
  <c r="E133" i="15"/>
  <c r="G133" i="15"/>
  <c r="G135" i="15" s="1"/>
  <c r="K133" i="15"/>
  <c r="K135" i="15" s="1"/>
  <c r="J133" i="15"/>
  <c r="J135" i="15" s="1"/>
  <c r="K49" i="15"/>
  <c r="K51" i="15" s="1"/>
  <c r="J49" i="15"/>
  <c r="J51" i="15" s="1"/>
  <c r="E49" i="15"/>
  <c r="I133" i="15"/>
  <c r="I135" i="15" s="1"/>
  <c r="E50" i="15" l="1"/>
  <c r="I54" i="15"/>
  <c r="E134" i="15"/>
  <c r="G50" i="15"/>
  <c r="D49" i="15"/>
  <c r="D51" i="15" s="1"/>
  <c r="D133" i="15"/>
  <c r="D135" i="15" s="1"/>
  <c r="G134" i="15"/>
  <c r="E135" i="15"/>
  <c r="E136" i="15" s="1"/>
  <c r="E51" i="15"/>
  <c r="E52" i="15" s="1"/>
  <c r="I138" i="15"/>
  <c r="G52" i="15"/>
  <c r="G136" i="15"/>
  <c r="I55" i="15" l="1"/>
  <c r="I139" i="15"/>
  <c r="G54" i="15"/>
  <c r="G55" i="15" s="1"/>
  <c r="E54" i="15"/>
  <c r="E138" i="15"/>
  <c r="G138" i="15"/>
  <c r="G139" i="15" s="1"/>
  <c r="E55" i="15" l="1"/>
  <c r="E139" i="15"/>
</calcChain>
</file>

<file path=xl/sharedStrings.xml><?xml version="1.0" encoding="utf-8"?>
<sst xmlns="http://schemas.openxmlformats.org/spreadsheetml/2006/main" count="1330" uniqueCount="204">
  <si>
    <t>Số
TT</t>
  </si>
  <si>
    <t>Gạo tẻ</t>
  </si>
  <si>
    <t>Mắm</t>
  </si>
  <si>
    <t>Thịt gà</t>
  </si>
  <si>
    <t>Thịt bò</t>
  </si>
  <si>
    <t>Cà rốt</t>
  </si>
  <si>
    <t>Năng lượng bữa chính/trẻ</t>
  </si>
  <si>
    <t>Năng lượng bữa phụ/trẻ</t>
  </si>
  <si>
    <t>Lượng 
TP 
sạch</t>
  </si>
  <si>
    <t>Năng 
lượng
(Kcal)</t>
  </si>
  <si>
    <r>
      <t>P</t>
    </r>
    <r>
      <rPr>
        <sz val="11"/>
        <rFont val="Times New Roman"/>
        <family val="1"/>
      </rPr>
      <t>(ĐV)</t>
    </r>
  </si>
  <si>
    <t>Protein (g)</t>
  </si>
  <si>
    <r>
      <t>P</t>
    </r>
    <r>
      <rPr>
        <sz val="11"/>
        <rFont val="Times New Roman"/>
        <family val="1"/>
      </rPr>
      <t>(TV)</t>
    </r>
  </si>
  <si>
    <t>Lipid (g)</t>
  </si>
  <si>
    <r>
      <t>L</t>
    </r>
    <r>
      <rPr>
        <sz val="11"/>
        <rFont val="Times New Roman"/>
        <family val="1"/>
      </rPr>
      <t>(ĐV)</t>
    </r>
  </si>
  <si>
    <r>
      <t>L</t>
    </r>
    <r>
      <rPr>
        <sz val="11"/>
        <rFont val="Times New Roman"/>
        <family val="1"/>
      </rPr>
      <t>(TV)</t>
    </r>
  </si>
  <si>
    <t>Glucid
(g)</t>
  </si>
  <si>
    <t>Thực phẩm cần mua (g)</t>
  </si>
  <si>
    <t>Số tiền (đ)</t>
  </si>
  <si>
    <t>Tên 
thực phẩm</t>
  </si>
  <si>
    <t>Cà chua</t>
  </si>
  <si>
    <t>19.5-35.4</t>
  </si>
  <si>
    <t>17-28.2</t>
  </si>
  <si>
    <t>78-106.2</t>
  </si>
  <si>
    <t>19-31.7</t>
  </si>
  <si>
    <t>20-28.9</t>
  </si>
  <si>
    <t>68.8-79.4</t>
  </si>
  <si>
    <t>615-726</t>
  </si>
  <si>
    <t>600-651</t>
  </si>
  <si>
    <t>Đường kính</t>
  </si>
  <si>
    <t>BẢNG TÍNH KHẨU PHẦN ĂN CỦA TRẺ MẪU GIÁO</t>
  </si>
  <si>
    <t>BẢNG TÍNH KHẨU PHẦN ĂN CỦA TRẺ NHÀ TRẺ</t>
  </si>
  <si>
    <t>Ca</t>
  </si>
  <si>
    <t>B1</t>
  </si>
  <si>
    <t>Đơn giá (đ)</t>
  </si>
  <si>
    <t>Bữa chính</t>
  </si>
  <si>
    <t>NGƯỜI THỰC HIỆN</t>
  </si>
  <si>
    <t>% năng lượng bữa chính</t>
  </si>
  <si>
    <t>30-35%</t>
  </si>
  <si>
    <t>Bữa phụ</t>
  </si>
  <si>
    <t>% năng lượng bữa phụ</t>
  </si>
  <si>
    <t>15-20%</t>
  </si>
  <si>
    <t>Bữa trưa</t>
  </si>
  <si>
    <t>Năng lượng bữa trưa/trẻ</t>
  </si>
  <si>
    <t>% năng lượng bữa trưa</t>
  </si>
  <si>
    <t>Bữa chiều</t>
  </si>
  <si>
    <t>Năng lượng bữa chiều/trẻ</t>
  </si>
  <si>
    <t>% năng lượng bữa chiều</t>
  </si>
  <si>
    <t>25-30%</t>
  </si>
  <si>
    <t>5-10%</t>
  </si>
  <si>
    <t>% năng lượng 
bữa chính</t>
  </si>
  <si>
    <t>% năng lượng 
bữa phụ</t>
  </si>
  <si>
    <t>% năng lượng 
bữa trưa</t>
  </si>
  <si>
    <t>% năng lượng 
bữa chiều</t>
  </si>
  <si>
    <t>Đơn giá 
(đ)</t>
  </si>
  <si>
    <t>Thực phẩm cần mua
 (g)</t>
  </si>
  <si>
    <t>Đơn giá
(đ)</t>
  </si>
  <si>
    <t>Dự kiến</t>
  </si>
  <si>
    <t>Thực đạt</t>
  </si>
  <si>
    <r>
      <t>TRƯỜ</t>
    </r>
    <r>
      <rPr>
        <b/>
        <u/>
        <sz val="11"/>
        <rFont val="Times New Roman"/>
        <family val="1"/>
      </rPr>
      <t>NG MÂM NON MỸ</t>
    </r>
    <r>
      <rPr>
        <b/>
        <sz val="11"/>
        <rFont val="Times New Roman"/>
        <family val="1"/>
      </rPr>
      <t xml:space="preserve"> TIẾN</t>
    </r>
  </si>
  <si>
    <t>PHÓ HIỆU TRƯỞNG</t>
  </si>
  <si>
    <t>Hạt sen</t>
  </si>
  <si>
    <t>Trứng chim cút</t>
  </si>
  <si>
    <t>Trứng gà</t>
  </si>
  <si>
    <t>Thịt vịt</t>
  </si>
  <si>
    <t>Gạo nếp</t>
  </si>
  <si>
    <t xml:space="preserve">Thịt lợn nạc </t>
  </si>
  <si>
    <t>Thịt lợn nạc</t>
  </si>
  <si>
    <t>Bí đao</t>
  </si>
  <si>
    <t>Kcal (P:L:G)</t>
  </si>
  <si>
    <t>Tỷ lệ các chất  (%)</t>
  </si>
  <si>
    <t>Khuyến nghị</t>
  </si>
  <si>
    <t>13-20</t>
  </si>
  <si>
    <t>25-35</t>
  </si>
  <si>
    <t>52-60</t>
  </si>
  <si>
    <t>Khẩu phần 
cả ngày của 1 trẻ đạt (g)</t>
  </si>
  <si>
    <t>Khẩu phần khuyến nghị (g)</t>
  </si>
  <si>
    <t>Tỷ lệ các chất (%)</t>
  </si>
  <si>
    <t>30-40</t>
  </si>
  <si>
    <t>47-50</t>
  </si>
  <si>
    <t>Bí đỏ</t>
  </si>
  <si>
    <t>BỮA TRƯA</t>
  </si>
  <si>
    <t>BỮA CHIỀU</t>
  </si>
  <si>
    <t>Cơm tẻ</t>
  </si>
  <si>
    <t>Đặng Thị Phượng</t>
  </si>
  <si>
    <t>Thịt lợn nạc sốt cà chua</t>
  </si>
  <si>
    <t>Canh cà rốt, hạt sen nấu thịt gà</t>
  </si>
  <si>
    <t>Bí đao xào trứng gà</t>
  </si>
  <si>
    <t>Trứng chim cút sốt chua ngọt</t>
  </si>
  <si>
    <t>Canh bí đao, cà rốt nấu thịt lợn nạc</t>
  </si>
  <si>
    <t>Thịt lợn nạc rim trứng gà</t>
  </si>
  <si>
    <t>Trứng vịt</t>
  </si>
  <si>
    <t>Sườn lợn</t>
  </si>
  <si>
    <t>BỮA PHỤ CHIỀU</t>
  </si>
  <si>
    <t xml:space="preserve">BỮA PHỤ </t>
  </si>
  <si>
    <t>BỮA CHÍNH TRƯA</t>
  </si>
  <si>
    <t>BỮA CHÍNH CHIỀU</t>
  </si>
  <si>
    <t xml:space="preserve">Cộng chung bữa chính </t>
  </si>
  <si>
    <t xml:space="preserve">Cộng chung bữa phụ </t>
  </si>
  <si>
    <t>Cộng chung 
xuất ăn</t>
  </si>
  <si>
    <t>Nhận xét: So với khẩu phần khuyến nghị</t>
  </si>
  <si>
    <t xml:space="preserve">                </t>
  </si>
  <si>
    <t>Số g các chất dinh dưỡng và tỷ lệ các chất dinh dưỡng (P:L:G) đạt trong khoảng quy định.</t>
  </si>
  <si>
    <t>Trần Thị Thu</t>
  </si>
  <si>
    <t xml:space="preserve">Cộng chung bữa trưa </t>
  </si>
  <si>
    <t xml:space="preserve">Cộng chung bữa chiều </t>
  </si>
  <si>
    <t>Cộng chung 
 xuất ăn</t>
  </si>
  <si>
    <r>
      <t xml:space="preserve">Cách khắc phục: </t>
    </r>
    <r>
      <rPr>
        <sz val="11"/>
        <rFont val="Times New Roman"/>
        <family val="1"/>
      </rPr>
      <t>Duy trì số g lương thực thực phẩm trong khẩu phần ăn của trẻ.</t>
    </r>
  </si>
  <si>
    <t xml:space="preserve">Cộng chung  bữa phụ </t>
  </si>
  <si>
    <r>
      <t>Cách khắc phục:</t>
    </r>
    <r>
      <rPr>
        <sz val="11"/>
        <rFont val="Times New Roman"/>
        <family val="1"/>
      </rPr>
      <t xml:space="preserve"> Duy trì số g lương thực thực phẩm trong khẩu phần ăn của trẻ.</t>
    </r>
  </si>
  <si>
    <t xml:space="preserve">Số xuất ăn: </t>
  </si>
  <si>
    <t>Bột canh, hạt nêm</t>
  </si>
  <si>
    <t>Số xuất ăn</t>
  </si>
  <si>
    <r>
      <t xml:space="preserve">Cách khắc phục: </t>
    </r>
    <r>
      <rPr>
        <sz val="11"/>
        <rFont val="Times New Roman"/>
        <family val="1"/>
      </rPr>
      <t>Duy trì số g lương thực thực phẩm trong khẩu phần ăn của trẻ</t>
    </r>
  </si>
  <si>
    <t>Trần Thị Minh Thu</t>
  </si>
  <si>
    <t>Thịt vịt sốt chua ngọt</t>
  </si>
  <si>
    <t>Số g các chất dinh dưỡng và tỷ lệ các chất dinh dưỡng (P:L:G) đạt trong khoảng khuyến nghị.</t>
  </si>
  <si>
    <t>Hành khô</t>
  </si>
  <si>
    <t>Cháo thịt vịt, bí đao</t>
  </si>
  <si>
    <t>Nước tương</t>
  </si>
  <si>
    <t>Cháo bí đỏ - sườn lợn</t>
  </si>
  <si>
    <t>Dầu cá Ranee</t>
  </si>
  <si>
    <t>Bánh đa</t>
  </si>
  <si>
    <t xml:space="preserve">Cua </t>
  </si>
  <si>
    <t>Canh bí đỏ nấu sườn lợn</t>
  </si>
  <si>
    <t>Cháo thịt gà cà rốt, hạt sen</t>
  </si>
  <si>
    <t>Dầu Simply</t>
  </si>
  <si>
    <t>Tép gạo</t>
  </si>
  <si>
    <t>Mộc nhĩ</t>
  </si>
  <si>
    <t>Thịt lơn nạc om mộc nhĩ, nước tương</t>
  </si>
  <si>
    <t>Sữa bột Nuvi Grow</t>
  </si>
  <si>
    <t>Uống sữa Nuvi Grow</t>
  </si>
  <si>
    <t>Khuyến
 nghị</t>
  </si>
  <si>
    <t>Tỷ lệ L động vật đạt 70.%; so với khẩu phần khuyến nghị đảm bảo đạt</t>
  </si>
  <si>
    <t>Rau cải thìa</t>
  </si>
  <si>
    <t>Dứa</t>
  </si>
  <si>
    <t>Bí đao, cà rốt xào thịt lợn nạc</t>
  </si>
  <si>
    <t>Trứng chim cút, thịt lợn nạc sốt cà chua</t>
  </si>
  <si>
    <t>Canh củ cải, cà rốt nấu thịt vịt</t>
  </si>
  <si>
    <t>Củ cải</t>
  </si>
  <si>
    <t>Canh rau cải thìa nấu cua</t>
  </si>
  <si>
    <t>Thịt gà, thịt lợn om mộc nhĩ, nước tương</t>
  </si>
  <si>
    <t>Cua</t>
  </si>
  <si>
    <t>Ruốc cá quả</t>
  </si>
  <si>
    <t>Dứa xào thịt lợn</t>
  </si>
  <si>
    <t>Cá quả</t>
  </si>
  <si>
    <t>Tỷ lệ L động vật đạt 70%; so với khẩu phần khuyến nghị đảm bảo đạt</t>
  </si>
  <si>
    <t>Bí đỏ xào thịt gà</t>
  </si>
  <si>
    <t>Trứng gà, thịt lợn chiên sốt cà chua</t>
  </si>
  <si>
    <t>Canh củ cải, cà rốt nấu thịt lợn</t>
  </si>
  <si>
    <t>Trứng vịt, thịt lợn chiên sốt cà chua</t>
  </si>
  <si>
    <t>Thịt bò sốt dứa, cà chua</t>
  </si>
  <si>
    <t>Cháo thịt bò, thịt gà - bí đỏ</t>
  </si>
  <si>
    <t>Bí đỏ xào thịt bò</t>
  </si>
  <si>
    <t>Chuối tiêu</t>
  </si>
  <si>
    <t>Xôi hạt sen, ruốc thịt lợn</t>
  </si>
  <si>
    <t>Tỷ lệ L động vật đạt 70.4%; so với khẩu phần khuyến nghị đảm bảo đạt</t>
  </si>
  <si>
    <t>Su hào xào thịt gà</t>
  </si>
  <si>
    <t>Canh rau cải cúc nấu tép</t>
  </si>
  <si>
    <t>Rau cải cúc</t>
  </si>
  <si>
    <t>Canh rau bắp cải nấu thịt bò</t>
  </si>
  <si>
    <t>Bắp cải</t>
  </si>
  <si>
    <t>Canh bắp cải nấu thịt bò</t>
  </si>
  <si>
    <t>Canh củ cải, cà rốt nấu thịt gà</t>
  </si>
  <si>
    <t>Tỷ lệ P động vật đạt 52%; so với khẩu phần khuyến tương nghị đảm bảo đạt</t>
  </si>
  <si>
    <t>Tỷ lệ P động vật đạt 59.6%; so với khẩu phần khuyến nghị đảm bảo đạt</t>
  </si>
  <si>
    <t>Canh su hào, cà rốt nấu thịt gà</t>
  </si>
  <si>
    <t>Bánh đa cua, rau cải cúc</t>
  </si>
  <si>
    <t>Su hào</t>
  </si>
  <si>
    <t>Tỷ lệ L động vật đạt 69.9%; so với khẩu phần khuyến nghị đảm bảo đạt</t>
  </si>
  <si>
    <t>Canh cua rau cải cúc</t>
  </si>
  <si>
    <t>Tỷ lệ P động vật đạt 50%; so với khẩu phần khuyến nghị tương đối đạt</t>
  </si>
  <si>
    <t>Tỷ lệ P động vật đạt 66.8%; So với khẩu phần khuyến nghị cao hơn 6.9%</t>
  </si>
  <si>
    <t>Tỷ lệ P động vật đạt 58.9%; so với khẩu phần khuyến nghị đảm bảo đạt</t>
  </si>
  <si>
    <t>Thứ hai, ngày 5 tháng 1 năm 2026</t>
  </si>
  <si>
    <t>Thứ ba, ngày 06 tháng 1 năm 2026</t>
  </si>
  <si>
    <t>Kcal đạt 702.3. So với khẩu phần khuyến nghị đảm bảo đạt</t>
  </si>
  <si>
    <t>Kcal đạt 606.72 So với khẩu phần khuyến nghị đảm bảo đạt</t>
  </si>
  <si>
    <t>Tỷ lệ P động vật đạt 54.3%; so với khẩu phần khuyến nghị đảm bảo đạt</t>
  </si>
  <si>
    <t>Tỷ lệ L động vật đạt 67.5%; so với khẩu phần khuyến nghị đảm bảo đạt</t>
  </si>
  <si>
    <t>Kcal đạt 646.99 So với khẩu phần khuyến nghị đảm bảo đạt</t>
  </si>
  <si>
    <t>Tỷ lệ P động vật đạt 57.8%; so với khẩu phần khuyến nghị đảm bảo đạt</t>
  </si>
  <si>
    <t>Tỷ lệ L động vật đạt 70.1%; so với khẩu phần khuyến nghị đảm bảo đạt</t>
  </si>
  <si>
    <t>Kcal đạt 716.4 So với khẩu phần khuyến nghị đảm bảo đạt</t>
  </si>
  <si>
    <t>Tỷ lệ P động vật đạt 53%; so với khẩu phần khuyến tương đối đạt</t>
  </si>
  <si>
    <t>Tỷ lệ L động vật đạt 70,6%; so với khẩu phần khuyến nghị đảm bảo đạt</t>
  </si>
  <si>
    <t>Thứ tư, ngày 7 tháng 1 năm 2026</t>
  </si>
  <si>
    <t>Kcal đạt 721.79. So với khẩu phần khuyến nghị đảm bảo đạt trong khoảng nhu cầu khuyến nghị</t>
  </si>
  <si>
    <t>Tỷ lệ P động vật đạt 59.2%; so với khẩu phần khuyến nghị đảm bảo đạt</t>
  </si>
  <si>
    <t>Kcal đạt 628.95 So với khẩu phần khuyến nghị đảm bảo đạt</t>
  </si>
  <si>
    <t>Thứ năm, ngày 8 tháng 1 năm 2026</t>
  </si>
  <si>
    <t>Kcal đạt 721.79 So với khẩu phần khuyến nghị đảm bảo đạt</t>
  </si>
  <si>
    <t>Kcal đạt 640.83. So với khẩu phần khuyến nghị đảm bảo đạt</t>
  </si>
  <si>
    <t>Thứ sáu, ngày 9 tháng 1 năm 2026</t>
  </si>
  <si>
    <t>Kcal đạt 702.72. So với khẩu phần khuyến nghị đảm bảo đạt</t>
  </si>
  <si>
    <t>Tỷ lệ P động vật đạt 51.2%; so với khẩu phần khuyến nghị tương đối đạt</t>
  </si>
  <si>
    <t>Kcal đạt 644.71 So với khẩu phần khuyến nghị đảm bảo đạt</t>
  </si>
  <si>
    <t>Thứ bẩy, ngày 10 tháng 1 năm 2026</t>
  </si>
  <si>
    <t>Kcal đạt 719.39 So với khẩu phần khuyến nghị đảm bảo đạt</t>
  </si>
  <si>
    <t>Tỷ lệ P động vật đạt 52.4%; so với khẩu phần khuyến nghị tương đối đạt</t>
  </si>
  <si>
    <t>Tỷ lệ L động vật đạt 69.7%; so với khẩu phần khuyến nghị đảm bảo đạt</t>
  </si>
  <si>
    <t>Kcal đạt 642.31 So với khẩu phần khuyến nghị đảm bảo đạt</t>
  </si>
  <si>
    <t>Tỷ lệ P động vật đạt 60.8%; so với khẩu phần khuyến nghị cao hơn 1,1%</t>
  </si>
  <si>
    <t>Tỷ lệ L động vật đạt 70.6%; so với khẩu phần khuyến nghị đảm bảo đạt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</si>
</sst>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.##0"/>
    <numFmt numFmtId="166" formatCode="#,##0.0"/>
    <numFmt numFmtId="167" formatCode="0.0"/>
  </numFmts>
  <fonts count="1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u/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329">
    <xf numFmtId="0" fontId="0" fillId="0" borderId="0" xfId="0"/>
    <xf numFmtId="0" fontId="3" fillId="0" borderId="0" xfId="0" applyFont="1"/>
    <xf numFmtId="2" fontId="3" fillId="0" borderId="0" xfId="0" applyNumberFormat="1" applyFont="1"/>
    <xf numFmtId="4" fontId="3" fillId="0" borderId="0" xfId="0" applyNumberFormat="1" applyFont="1"/>
    <xf numFmtId="0" fontId="8" fillId="0" borderId="4" xfId="0" applyFont="1" applyBorder="1"/>
    <xf numFmtId="4" fontId="6" fillId="0" borderId="2" xfId="0" applyNumberFormat="1" applyFont="1" applyBorder="1"/>
    <xf numFmtId="0" fontId="5" fillId="0" borderId="0" xfId="0" applyFont="1"/>
    <xf numFmtId="0" fontId="8" fillId="0" borderId="4" xfId="0" applyFont="1" applyBorder="1" applyAlignment="1">
      <alignment horizontal="center"/>
    </xf>
    <xf numFmtId="3" fontId="8" fillId="0" borderId="4" xfId="1" applyNumberFormat="1" applyFont="1" applyBorder="1" applyAlignment="1">
      <alignment horizontal="left"/>
    </xf>
    <xf numFmtId="0" fontId="2" fillId="0" borderId="0" xfId="0" applyFont="1"/>
    <xf numFmtId="3" fontId="11" fillId="0" borderId="4" xfId="0" applyNumberFormat="1" applyFont="1" applyBorder="1"/>
    <xf numFmtId="2" fontId="11" fillId="0" borderId="4" xfId="0" applyNumberFormat="1" applyFont="1" applyBorder="1"/>
    <xf numFmtId="4" fontId="11" fillId="0" borderId="4" xfId="0" applyNumberFormat="1" applyFont="1" applyBorder="1"/>
    <xf numFmtId="1" fontId="11" fillId="0" borderId="4" xfId="0" applyNumberFormat="1" applyFont="1" applyBorder="1"/>
    <xf numFmtId="4" fontId="11" fillId="0" borderId="5" xfId="0" applyNumberFormat="1" applyFont="1" applyBorder="1"/>
    <xf numFmtId="1" fontId="6" fillId="0" borderId="3" xfId="0" applyNumberFormat="1" applyFont="1" applyBorder="1"/>
    <xf numFmtId="0" fontId="6" fillId="0" borderId="2" xfId="0" applyFont="1" applyBorder="1" applyAlignment="1">
      <alignment vertical="center"/>
    </xf>
    <xf numFmtId="167" fontId="11" fillId="0" borderId="4" xfId="0" applyNumberFormat="1" applyFont="1" applyBorder="1"/>
    <xf numFmtId="164" fontId="11" fillId="0" borderId="5" xfId="0" applyNumberFormat="1" applyFont="1" applyBorder="1"/>
    <xf numFmtId="164" fontId="11" fillId="0" borderId="4" xfId="0" applyNumberFormat="1" applyFont="1" applyBorder="1"/>
    <xf numFmtId="0" fontId="13" fillId="0" borderId="15" xfId="0" applyFont="1" applyBorder="1"/>
    <xf numFmtId="0" fontId="13" fillId="0" borderId="6" xfId="0" applyFont="1" applyBorder="1"/>
    <xf numFmtId="3" fontId="11" fillId="0" borderId="2" xfId="0" applyNumberFormat="1" applyFont="1" applyBorder="1"/>
    <xf numFmtId="2" fontId="6" fillId="0" borderId="2" xfId="0" applyNumberFormat="1" applyFont="1" applyBorder="1"/>
    <xf numFmtId="4" fontId="11" fillId="0" borderId="2" xfId="0" applyNumberFormat="1" applyFont="1" applyBorder="1"/>
    <xf numFmtId="1" fontId="11" fillId="0" borderId="2" xfId="0" applyNumberFormat="1" applyFont="1" applyBorder="1"/>
    <xf numFmtId="2" fontId="6" fillId="0" borderId="2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center" vertical="center"/>
    </xf>
    <xf numFmtId="1" fontId="6" fillId="0" borderId="2" xfId="0" applyNumberFormat="1" applyFont="1" applyBorder="1"/>
    <xf numFmtId="0" fontId="11" fillId="0" borderId="2" xfId="0" applyFont="1" applyBorder="1"/>
    <xf numFmtId="0" fontId="6" fillId="0" borderId="2" xfId="0" applyFont="1" applyBorder="1"/>
    <xf numFmtId="0" fontId="6" fillId="0" borderId="13" xfId="0" applyFont="1" applyBorder="1"/>
    <xf numFmtId="0" fontId="8" fillId="0" borderId="11" xfId="0" applyFont="1" applyBorder="1" applyAlignment="1">
      <alignment horizontal="center"/>
    </xf>
    <xf numFmtId="3" fontId="8" fillId="0" borderId="11" xfId="1" applyNumberFormat="1" applyFont="1" applyBorder="1" applyAlignment="1">
      <alignment horizontal="left"/>
    </xf>
    <xf numFmtId="3" fontId="11" fillId="0" borderId="11" xfId="0" applyNumberFormat="1" applyFont="1" applyBorder="1"/>
    <xf numFmtId="2" fontId="11" fillId="0" borderId="11" xfId="0" applyNumberFormat="1" applyFont="1" applyBorder="1"/>
    <xf numFmtId="4" fontId="11" fillId="0" borderId="11" xfId="0" applyNumberFormat="1" applyFont="1" applyBorder="1"/>
    <xf numFmtId="1" fontId="11" fillId="0" borderId="11" xfId="0" applyNumberFormat="1" applyFont="1" applyBorder="1"/>
    <xf numFmtId="167" fontId="11" fillId="0" borderId="11" xfId="0" applyNumberFormat="1" applyFont="1" applyBorder="1"/>
    <xf numFmtId="3" fontId="11" fillId="0" borderId="12" xfId="0" applyNumberFormat="1" applyFont="1" applyBorder="1"/>
    <xf numFmtId="2" fontId="11" fillId="0" borderId="12" xfId="0" applyNumberFormat="1" applyFont="1" applyBorder="1"/>
    <xf numFmtId="4" fontId="11" fillId="0" borderId="12" xfId="0" applyNumberFormat="1" applyFont="1" applyBorder="1"/>
    <xf numFmtId="1" fontId="11" fillId="0" borderId="12" xfId="0" applyNumberFormat="1" applyFont="1" applyBorder="1"/>
    <xf numFmtId="3" fontId="11" fillId="0" borderId="6" xfId="0" applyNumberFormat="1" applyFont="1" applyBorder="1"/>
    <xf numFmtId="1" fontId="6" fillId="0" borderId="2" xfId="0" applyNumberFormat="1" applyFont="1" applyBorder="1" applyAlignment="1">
      <alignment horizontal="center"/>
    </xf>
    <xf numFmtId="0" fontId="11" fillId="0" borderId="13" xfId="0" applyFont="1" applyBorder="1"/>
    <xf numFmtId="1" fontId="6" fillId="0" borderId="13" xfId="0" applyNumberFormat="1" applyFont="1" applyBorder="1"/>
    <xf numFmtId="0" fontId="11" fillId="0" borderId="12" xfId="0" applyFont="1" applyBorder="1"/>
    <xf numFmtId="0" fontId="6" fillId="0" borderId="12" xfId="0" applyFont="1" applyBorder="1"/>
    <xf numFmtId="1" fontId="6" fillId="0" borderId="12" xfId="0" applyNumberFormat="1" applyFont="1" applyBorder="1"/>
    <xf numFmtId="3" fontId="6" fillId="0" borderId="12" xfId="0" applyNumberFormat="1" applyFont="1" applyBorder="1" applyAlignment="1">
      <alignment horizontal="center" vertical="center"/>
    </xf>
    <xf numFmtId="164" fontId="11" fillId="0" borderId="11" xfId="0" applyNumberFormat="1" applyFont="1" applyBorder="1"/>
    <xf numFmtId="3" fontId="6" fillId="0" borderId="6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164" fontId="14" fillId="0" borderId="5" xfId="0" applyNumberFormat="1" applyFont="1" applyBorder="1"/>
    <xf numFmtId="164" fontId="14" fillId="0" borderId="4" xfId="0" applyNumberFormat="1" applyFont="1" applyBorder="1"/>
    <xf numFmtId="2" fontId="14" fillId="0" borderId="4" xfId="0" applyNumberFormat="1" applyFont="1" applyBorder="1"/>
    <xf numFmtId="3" fontId="14" fillId="0" borderId="4" xfId="1" applyNumberFormat="1" applyFont="1" applyBorder="1" applyAlignment="1">
      <alignment horizontal="left"/>
    </xf>
    <xf numFmtId="3" fontId="3" fillId="0" borderId="4" xfId="1" applyNumberFormat="1" applyFont="1" applyBorder="1" applyAlignment="1">
      <alignment horizontal="left"/>
    </xf>
    <xf numFmtId="2" fontId="6" fillId="0" borderId="2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4" fontId="12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20" xfId="0" applyFont="1" applyBorder="1" applyAlignment="1">
      <alignment horizontal="center"/>
    </xf>
    <xf numFmtId="3" fontId="8" fillId="0" borderId="20" xfId="1" applyNumberFormat="1" applyFont="1" applyBorder="1" applyAlignment="1">
      <alignment horizontal="left"/>
    </xf>
    <xf numFmtId="3" fontId="11" fillId="0" borderId="20" xfId="0" applyNumberFormat="1" applyFont="1" applyBorder="1"/>
    <xf numFmtId="2" fontId="11" fillId="0" borderId="20" xfId="0" applyNumberFormat="1" applyFont="1" applyBorder="1"/>
    <xf numFmtId="4" fontId="11" fillId="0" borderId="20" xfId="0" applyNumberFormat="1" applyFont="1" applyBorder="1"/>
    <xf numFmtId="1" fontId="11" fillId="0" borderId="20" xfId="0" applyNumberFormat="1" applyFont="1" applyBorder="1"/>
    <xf numFmtId="167" fontId="6" fillId="0" borderId="2" xfId="0" applyNumberFormat="1" applyFont="1" applyBorder="1" applyAlignment="1">
      <alignment vertical="center"/>
    </xf>
    <xf numFmtId="1" fontId="6" fillId="0" borderId="2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4" fontId="14" fillId="0" borderId="4" xfId="0" applyNumberFormat="1" applyFont="1" applyBorder="1"/>
    <xf numFmtId="3" fontId="14" fillId="0" borderId="11" xfId="0" applyNumberFormat="1" applyFont="1" applyBorder="1"/>
    <xf numFmtId="3" fontId="14" fillId="0" borderId="4" xfId="0" applyNumberFormat="1" applyFont="1" applyBorder="1"/>
    <xf numFmtId="2" fontId="12" fillId="0" borderId="2" xfId="0" applyNumberFormat="1" applyFont="1" applyBorder="1"/>
    <xf numFmtId="4" fontId="12" fillId="0" borderId="2" xfId="0" applyNumberFormat="1" applyFont="1" applyBorder="1"/>
    <xf numFmtId="4" fontId="13" fillId="0" borderId="2" xfId="0" applyNumberFormat="1" applyFont="1" applyBorder="1"/>
    <xf numFmtId="2" fontId="6" fillId="2" borderId="3" xfId="0" applyNumberFormat="1" applyFont="1" applyFill="1" applyBorder="1" applyAlignment="1">
      <alignment vertical="center"/>
    </xf>
    <xf numFmtId="2" fontId="6" fillId="0" borderId="3" xfId="0" applyNumberFormat="1" applyFont="1" applyBorder="1" applyAlignment="1">
      <alignment vertical="center"/>
    </xf>
    <xf numFmtId="0" fontId="4" fillId="0" borderId="2" xfId="0" applyFont="1" applyBorder="1" applyAlignment="1">
      <alignment horizontal="right"/>
    </xf>
    <xf numFmtId="0" fontId="6" fillId="0" borderId="13" xfId="0" applyFont="1" applyBorder="1" applyAlignment="1">
      <alignment vertical="center"/>
    </xf>
    <xf numFmtId="167" fontId="14" fillId="0" borderId="4" xfId="0" applyNumberFormat="1" applyFont="1" applyBorder="1"/>
    <xf numFmtId="4" fontId="11" fillId="2" borderId="4" xfId="0" applyNumberFormat="1" applyFont="1" applyFill="1" applyBorder="1"/>
    <xf numFmtId="4" fontId="11" fillId="2" borderId="20" xfId="0" applyNumberFormat="1" applyFont="1" applyFill="1" applyBorder="1"/>
    <xf numFmtId="164" fontId="12" fillId="2" borderId="6" xfId="0" applyNumberFormat="1" applyFont="1" applyFill="1" applyBorder="1"/>
    <xf numFmtId="164" fontId="6" fillId="2" borderId="6" xfId="0" applyNumberFormat="1" applyFont="1" applyFill="1" applyBorder="1"/>
    <xf numFmtId="164" fontId="6" fillId="2" borderId="2" xfId="0" applyNumberFormat="1" applyFont="1" applyFill="1" applyBorder="1"/>
    <xf numFmtId="167" fontId="11" fillId="2" borderId="11" xfId="0" applyNumberFormat="1" applyFont="1" applyFill="1" applyBorder="1"/>
    <xf numFmtId="167" fontId="11" fillId="2" borderId="4" xfId="0" applyNumberFormat="1" applyFont="1" applyFill="1" applyBorder="1"/>
    <xf numFmtId="1" fontId="11" fillId="2" borderId="4" xfId="0" applyNumberFormat="1" applyFont="1" applyFill="1" applyBorder="1"/>
    <xf numFmtId="0" fontId="6" fillId="2" borderId="13" xfId="0" applyFont="1" applyFill="1" applyBorder="1" applyAlignment="1">
      <alignment vertical="center"/>
    </xf>
    <xf numFmtId="3" fontId="11" fillId="2" borderId="4" xfId="0" applyNumberFormat="1" applyFont="1" applyFill="1" applyBorder="1"/>
    <xf numFmtId="3" fontId="11" fillId="2" borderId="11" xfId="0" applyNumberFormat="1" applyFont="1" applyFill="1" applyBorder="1"/>
    <xf numFmtId="3" fontId="11" fillId="0" borderId="4" xfId="1" applyNumberFormat="1" applyFont="1" applyBorder="1" applyAlignment="1">
      <alignment horizontal="left"/>
    </xf>
    <xf numFmtId="0" fontId="2" fillId="2" borderId="0" xfId="0" applyFont="1" applyFill="1"/>
    <xf numFmtId="0" fontId="5" fillId="2" borderId="0" xfId="0" applyFont="1" applyFill="1"/>
    <xf numFmtId="0" fontId="3" fillId="2" borderId="0" xfId="0" applyFont="1" applyFill="1"/>
    <xf numFmtId="0" fontId="8" fillId="0" borderId="2" xfId="0" applyFont="1" applyBorder="1" applyAlignment="1">
      <alignment horizontal="center"/>
    </xf>
    <xf numFmtId="2" fontId="11" fillId="0" borderId="2" xfId="0" applyNumberFormat="1" applyFont="1" applyBorder="1"/>
    <xf numFmtId="4" fontId="14" fillId="0" borderId="2" xfId="0" applyNumberFormat="1" applyFont="1" applyBorder="1"/>
    <xf numFmtId="0" fontId="8" fillId="0" borderId="5" xfId="0" applyFont="1" applyBorder="1"/>
    <xf numFmtId="4" fontId="14" fillId="0" borderId="5" xfId="0" applyNumberFormat="1" applyFont="1" applyBorder="1"/>
    <xf numFmtId="0" fontId="8" fillId="0" borderId="2" xfId="0" applyFont="1" applyBorder="1"/>
    <xf numFmtId="164" fontId="14" fillId="0" borderId="2" xfId="0" applyNumberFormat="1" applyFont="1" applyBorder="1"/>
    <xf numFmtId="164" fontId="11" fillId="0" borderId="2" xfId="0" applyNumberFormat="1" applyFont="1" applyBorder="1"/>
    <xf numFmtId="167" fontId="11" fillId="0" borderId="2" xfId="0" applyNumberFormat="1" applyFont="1" applyBorder="1"/>
    <xf numFmtId="3" fontId="8" fillId="2" borderId="4" xfId="1" applyNumberFormat="1" applyFont="1" applyFill="1" applyBorder="1" applyAlignment="1">
      <alignment horizontal="left"/>
    </xf>
    <xf numFmtId="0" fontId="3" fillId="0" borderId="4" xfId="0" applyFont="1" applyBorder="1"/>
    <xf numFmtId="3" fontId="3" fillId="2" borderId="4" xfId="1" applyNumberFormat="1" applyFont="1" applyFill="1" applyBorder="1" applyAlignment="1">
      <alignment horizontal="left"/>
    </xf>
    <xf numFmtId="2" fontId="6" fillId="0" borderId="13" xfId="0" applyNumberFormat="1" applyFont="1" applyBorder="1" applyAlignment="1">
      <alignment vertical="center"/>
    </xf>
    <xf numFmtId="0" fontId="8" fillId="2" borderId="4" xfId="0" applyFont="1" applyFill="1" applyBorder="1" applyAlignment="1">
      <alignment horizontal="center"/>
    </xf>
    <xf numFmtId="2" fontId="11" fillId="2" borderId="4" xfId="0" applyNumberFormat="1" applyFont="1" applyFill="1" applyBorder="1"/>
    <xf numFmtId="164" fontId="11" fillId="2" borderId="4" xfId="0" applyNumberFormat="1" applyFont="1" applyFill="1" applyBorder="1"/>
    <xf numFmtId="1" fontId="11" fillId="2" borderId="11" xfId="0" applyNumberFormat="1" applyFont="1" applyFill="1" applyBorder="1"/>
    <xf numFmtId="2" fontId="6" fillId="2" borderId="13" xfId="0" applyNumberFormat="1" applyFont="1" applyFill="1" applyBorder="1" applyAlignment="1">
      <alignment vertical="center"/>
    </xf>
    <xf numFmtId="3" fontId="10" fillId="0" borderId="4" xfId="2" applyNumberFormat="1" applyFont="1" applyBorder="1" applyAlignment="1">
      <alignment horizontal="left" vertical="center" wrapText="1"/>
    </xf>
    <xf numFmtId="3" fontId="10" fillId="0" borderId="2" xfId="2" applyNumberFormat="1" applyFont="1" applyBorder="1" applyAlignment="1">
      <alignment horizontal="left" vertical="center" wrapText="1"/>
    </xf>
    <xf numFmtId="167" fontId="14" fillId="0" borderId="2" xfId="0" applyNumberFormat="1" applyFont="1" applyBorder="1"/>
    <xf numFmtId="3" fontId="3" fillId="0" borderId="0" xfId="0" applyNumberFormat="1" applyFont="1"/>
    <xf numFmtId="3" fontId="14" fillId="0" borderId="2" xfId="0" applyNumberFormat="1" applyFont="1" applyBorder="1"/>
    <xf numFmtId="3" fontId="10" fillId="0" borderId="4" xfId="0" applyNumberFormat="1" applyFont="1" applyBorder="1"/>
    <xf numFmtId="164" fontId="10" fillId="0" borderId="4" xfId="0" applyNumberFormat="1" applyFont="1" applyBorder="1"/>
    <xf numFmtId="0" fontId="2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1" fontId="3" fillId="0" borderId="0" xfId="0" applyNumberFormat="1" applyFont="1"/>
    <xf numFmtId="4" fontId="3" fillId="2" borderId="0" xfId="0" applyNumberFormat="1" applyFont="1" applyFill="1"/>
    <xf numFmtId="1" fontId="11" fillId="0" borderId="5" xfId="0" applyNumberFormat="1" applyFont="1" applyBorder="1"/>
    <xf numFmtId="1" fontId="11" fillId="2" borderId="5" xfId="0" applyNumberFormat="1" applyFont="1" applyFill="1" applyBorder="1"/>
    <xf numFmtId="3" fontId="10" fillId="0" borderId="2" xfId="0" applyNumberFormat="1" applyFont="1" applyBorder="1" applyAlignment="1">
      <alignment horizontal="center" wrapText="1"/>
    </xf>
    <xf numFmtId="167" fontId="3" fillId="0" borderId="0" xfId="0" applyNumberFormat="1" applyFont="1"/>
    <xf numFmtId="0" fontId="3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10" fillId="0" borderId="0" xfId="0" applyFont="1"/>
    <xf numFmtId="2" fontId="3" fillId="2" borderId="0" xfId="0" applyNumberFormat="1" applyFont="1" applyFill="1"/>
    <xf numFmtId="0" fontId="3" fillId="2" borderId="0" xfId="0" applyFont="1" applyFill="1" applyAlignment="1">
      <alignment horizontal="center"/>
    </xf>
    <xf numFmtId="164" fontId="3" fillId="2" borderId="0" xfId="0" applyNumberFormat="1" applyFont="1" applyFill="1"/>
    <xf numFmtId="0" fontId="10" fillId="2" borderId="0" xfId="0" applyFont="1" applyFill="1"/>
    <xf numFmtId="1" fontId="14" fillId="0" borderId="4" xfId="0" applyNumberFormat="1" applyFont="1" applyBorder="1"/>
    <xf numFmtId="164" fontId="12" fillId="0" borderId="2" xfId="0" applyNumberFormat="1" applyFont="1" applyBorder="1"/>
    <xf numFmtId="164" fontId="12" fillId="0" borderId="6" xfId="0" applyNumberFormat="1" applyFont="1" applyBorder="1"/>
    <xf numFmtId="164" fontId="6" fillId="0" borderId="6" xfId="0" applyNumberFormat="1" applyFont="1" applyBorder="1"/>
    <xf numFmtId="0" fontId="12" fillId="0" borderId="2" xfId="0" applyFont="1" applyBorder="1" applyAlignment="1">
      <alignment horizontal="center" vertical="center"/>
    </xf>
    <xf numFmtId="2" fontId="3" fillId="0" borderId="0" xfId="0" applyNumberFormat="1" applyFont="1" applyAlignment="1">
      <alignment horizontal="left" vertical="top"/>
    </xf>
    <xf numFmtId="2" fontId="11" fillId="2" borderId="20" xfId="0" applyNumberFormat="1" applyFont="1" applyFill="1" applyBorder="1"/>
    <xf numFmtId="164" fontId="12" fillId="2" borderId="2" xfId="0" applyNumberFormat="1" applyFont="1" applyFill="1" applyBorder="1"/>
    <xf numFmtId="0" fontId="5" fillId="2" borderId="0" xfId="0" applyFont="1" applyFill="1" applyAlignment="1">
      <alignment vertical="center"/>
    </xf>
    <xf numFmtId="2" fontId="14" fillId="0" borderId="2" xfId="0" applyNumberFormat="1" applyFont="1" applyBorder="1"/>
    <xf numFmtId="2" fontId="10" fillId="0" borderId="4" xfId="0" applyNumberFormat="1" applyFont="1" applyBorder="1"/>
    <xf numFmtId="2" fontId="13" fillId="0" borderId="2" xfId="0" applyNumberFormat="1" applyFont="1" applyBorder="1"/>
    <xf numFmtId="2" fontId="14" fillId="2" borderId="4" xfId="0" applyNumberFormat="1" applyFont="1" applyFill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67" fontId="6" fillId="0" borderId="15" xfId="0" applyNumberFormat="1" applyFont="1" applyBorder="1" applyAlignment="1">
      <alignment horizontal="center" vertical="center"/>
    </xf>
    <xf numFmtId="167" fontId="6" fillId="0" borderId="6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165" fontId="6" fillId="2" borderId="15" xfId="0" applyNumberFormat="1" applyFont="1" applyFill="1" applyBorder="1" applyAlignment="1">
      <alignment horizontal="center"/>
    </xf>
    <xf numFmtId="165" fontId="6" fillId="2" borderId="6" xfId="0" applyNumberFormat="1" applyFont="1" applyFill="1" applyBorder="1" applyAlignment="1">
      <alignment horizontal="center"/>
    </xf>
    <xf numFmtId="166" fontId="3" fillId="2" borderId="0" xfId="0" applyNumberFormat="1" applyFont="1" applyFill="1" applyAlignment="1">
      <alignment horizontal="center"/>
    </xf>
    <xf numFmtId="4" fontId="6" fillId="0" borderId="2" xfId="0" applyNumberFormat="1" applyFont="1" applyBorder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13" fillId="0" borderId="14" xfId="0" applyNumberFormat="1" applyFont="1" applyBorder="1" applyAlignment="1">
      <alignment horizontal="center" vertical="center"/>
    </xf>
    <xf numFmtId="164" fontId="13" fillId="0" borderId="3" xfId="0" applyNumberFormat="1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3" fontId="12" fillId="0" borderId="13" xfId="0" applyNumberFormat="1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2" fontId="12" fillId="0" borderId="1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13" fillId="0" borderId="13" xfId="0" applyNumberFormat="1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/>
    </xf>
    <xf numFmtId="0" fontId="5" fillId="0" borderId="15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4" fillId="0" borderId="15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8" fillId="0" borderId="1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" fontId="6" fillId="0" borderId="15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2" fontId="12" fillId="0" borderId="7" xfId="0" applyNumberFormat="1" applyFont="1" applyBorder="1" applyAlignment="1">
      <alignment horizontal="center" vertical="center" wrapText="1"/>
    </xf>
    <xf numFmtId="2" fontId="12" fillId="0" borderId="16" xfId="0" applyNumberFormat="1" applyFont="1" applyBorder="1" applyAlignment="1">
      <alignment horizontal="center" vertical="center" wrapText="1"/>
    </xf>
    <xf numFmtId="2" fontId="12" fillId="0" borderId="8" xfId="0" applyNumberFormat="1" applyFont="1" applyBorder="1" applyAlignment="1">
      <alignment horizontal="center" vertical="center" wrapText="1"/>
    </xf>
    <xf numFmtId="2" fontId="12" fillId="0" borderId="9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12" fillId="0" borderId="10" xfId="0" applyNumberFormat="1" applyFont="1" applyBorder="1" applyAlignment="1">
      <alignment horizontal="center" vertical="center" wrapText="1"/>
    </xf>
    <xf numFmtId="164" fontId="12" fillId="0" borderId="13" xfId="0" applyNumberFormat="1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2" fontId="13" fillId="0" borderId="1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" fontId="12" fillId="0" borderId="13" xfId="0" applyNumberFormat="1" applyFont="1" applyBorder="1" applyAlignment="1">
      <alignment horizontal="center" vertical="center"/>
    </xf>
    <xf numFmtId="4" fontId="12" fillId="0" borderId="3" xfId="0" applyNumberFormat="1" applyFont="1" applyBorder="1" applyAlignment="1">
      <alignment horizontal="center" vertical="center"/>
    </xf>
    <xf numFmtId="3" fontId="12" fillId="0" borderId="13" xfId="0" applyNumberFormat="1" applyFont="1" applyBorder="1" applyAlignment="1">
      <alignment horizontal="center" vertical="center" textRotation="45"/>
    </xf>
    <xf numFmtId="3" fontId="12" fillId="0" borderId="3" xfId="0" applyNumberFormat="1" applyFont="1" applyBorder="1" applyAlignment="1">
      <alignment horizontal="center" vertical="center" textRotation="45"/>
    </xf>
    <xf numFmtId="3" fontId="13" fillId="0" borderId="13" xfId="0" applyNumberFormat="1" applyFont="1" applyBorder="1" applyAlignment="1">
      <alignment horizontal="center" vertical="center"/>
    </xf>
    <xf numFmtId="3" fontId="13" fillId="0" borderId="3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164" fontId="13" fillId="0" borderId="13" xfId="0" applyNumberFormat="1" applyFont="1" applyBorder="1" applyAlignment="1">
      <alignment horizontal="center" vertical="center"/>
    </xf>
    <xf numFmtId="3" fontId="13" fillId="0" borderId="13" xfId="0" applyNumberFormat="1" applyFont="1" applyBorder="1" applyAlignment="1">
      <alignment horizontal="center" vertical="center" textRotation="45"/>
    </xf>
    <xf numFmtId="3" fontId="13" fillId="0" borderId="3" xfId="0" applyNumberFormat="1" applyFont="1" applyBorder="1" applyAlignment="1">
      <alignment horizontal="center" vertical="center" textRotation="45"/>
    </xf>
    <xf numFmtId="0" fontId="4" fillId="0" borderId="2" xfId="0" applyFont="1" applyBorder="1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left"/>
    </xf>
    <xf numFmtId="3" fontId="6" fillId="0" borderId="13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165" fontId="6" fillId="2" borderId="12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3" fontId="6" fillId="0" borderId="13" xfId="0" applyNumberFormat="1" applyFont="1" applyBorder="1" applyAlignment="1">
      <alignment horizontal="center" vertical="center" textRotation="45"/>
    </xf>
    <xf numFmtId="3" fontId="6" fillId="0" borderId="3" xfId="0" applyNumberFormat="1" applyFont="1" applyBorder="1" applyAlignment="1">
      <alignment horizontal="center" vertical="center" textRotation="45"/>
    </xf>
    <xf numFmtId="165" fontId="6" fillId="0" borderId="15" xfId="0" applyNumberFormat="1" applyFont="1" applyBorder="1" applyAlignment="1">
      <alignment horizontal="center"/>
    </xf>
    <xf numFmtId="165" fontId="6" fillId="0" borderId="6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 vertical="center"/>
    </xf>
    <xf numFmtId="0" fontId="11" fillId="0" borderId="0" xfId="0" applyFont="1" applyAlignment="1">
      <alignment horizontal="center"/>
    </xf>
  </cellXfs>
  <cellStyles count="3">
    <cellStyle name="Normal" xfId="0" builtinId="0"/>
    <cellStyle name="Normal_Sheet1" xfId="1" xr:uid="{00000000-0005-0000-0000-000001000000}"/>
    <cellStyle name="Normal_Sheet1_tinh an thang 7_tinh an thang 5 nam 2018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57"/>
  <sheetViews>
    <sheetView tabSelected="1" view="pageLayout" workbookViewId="0">
      <selection activeCell="F1" sqref="F1:N1"/>
    </sheetView>
  </sheetViews>
  <sheetFormatPr defaultColWidth="9.140625" defaultRowHeight="20.45" customHeight="1" x14ac:dyDescent="0.25"/>
  <cols>
    <col min="1" max="1" width="4" style="1" customWidth="1"/>
    <col min="2" max="2" width="12.7109375" style="1" customWidth="1"/>
    <col min="3" max="3" width="7" style="1" customWidth="1"/>
    <col min="4" max="4" width="7.42578125" style="1" customWidth="1"/>
    <col min="5" max="8" width="7.28515625" style="1" customWidth="1"/>
    <col min="9" max="9" width="7.7109375" style="1" customWidth="1"/>
    <col min="10" max="11" width="7.28515625" style="1" customWidth="1"/>
    <col min="12" max="12" width="6.42578125" style="1" customWidth="1"/>
    <col min="13" max="13" width="4.85546875" style="1" customWidth="1"/>
    <col min="14" max="14" width="7" style="1" customWidth="1"/>
    <col min="15" max="15" width="11.85546875" style="1" customWidth="1"/>
    <col min="16" max="16" width="9.140625" style="1"/>
    <col min="17" max="19" width="7" style="1" customWidth="1"/>
    <col min="20" max="20" width="9.140625" style="1" customWidth="1"/>
    <col min="21" max="22" width="7" style="1" customWidth="1"/>
    <col min="23" max="16384" width="9.140625" style="1"/>
  </cols>
  <sheetData>
    <row r="1" spans="1:16" ht="20.45" customHeight="1" x14ac:dyDescent="0.3">
      <c r="A1" s="9" t="s">
        <v>59</v>
      </c>
      <c r="B1" s="6"/>
      <c r="C1" s="6"/>
      <c r="D1" s="6"/>
      <c r="E1" s="6"/>
      <c r="F1" s="265" t="s">
        <v>30</v>
      </c>
      <c r="G1" s="265"/>
      <c r="H1" s="265"/>
      <c r="I1" s="265"/>
      <c r="J1" s="265"/>
      <c r="K1" s="265"/>
      <c r="L1" s="265"/>
      <c r="M1" s="265"/>
      <c r="N1" s="265"/>
      <c r="O1" s="138"/>
      <c r="P1" s="138"/>
    </row>
    <row r="2" spans="1:16" ht="20.45" customHeight="1" x14ac:dyDescent="0.3">
      <c r="A2" s="6" t="s">
        <v>174</v>
      </c>
      <c r="B2" s="6"/>
      <c r="C2" s="6"/>
      <c r="D2" s="6"/>
      <c r="E2" s="6"/>
      <c r="F2" s="135"/>
      <c r="G2" s="135"/>
      <c r="H2" s="135"/>
      <c r="I2" s="135"/>
      <c r="J2" s="135"/>
      <c r="K2" s="135"/>
      <c r="L2" s="135"/>
      <c r="M2" s="135"/>
      <c r="N2" s="135"/>
      <c r="O2" s="138"/>
      <c r="P2" s="138"/>
    </row>
    <row r="3" spans="1:16" ht="19.899999999999999" customHeight="1" x14ac:dyDescent="0.25">
      <c r="A3" s="184" t="s">
        <v>95</v>
      </c>
      <c r="B3" s="184"/>
      <c r="C3" s="184"/>
      <c r="D3" s="184"/>
      <c r="E3" s="184" t="s">
        <v>93</v>
      </c>
      <c r="F3" s="184"/>
      <c r="G3" s="184"/>
      <c r="H3" s="184"/>
      <c r="I3" s="184"/>
      <c r="J3" s="184"/>
      <c r="K3" s="184"/>
      <c r="L3" s="184"/>
      <c r="M3" s="184"/>
      <c r="N3" s="184"/>
      <c r="O3" s="139"/>
    </row>
    <row r="4" spans="1:16" ht="19.899999999999999" customHeight="1" x14ac:dyDescent="0.25">
      <c r="A4" s="252" t="s">
        <v>83</v>
      </c>
      <c r="B4" s="252"/>
      <c r="C4" s="252"/>
      <c r="D4" s="252"/>
      <c r="E4" s="253" t="s">
        <v>131</v>
      </c>
      <c r="F4" s="253"/>
      <c r="G4" s="253"/>
      <c r="H4" s="253"/>
      <c r="I4" s="253"/>
      <c r="J4" s="284" t="s">
        <v>125</v>
      </c>
      <c r="K4" s="285"/>
      <c r="L4" s="285"/>
      <c r="M4" s="285"/>
      <c r="N4" s="286"/>
      <c r="O4" s="139"/>
    </row>
    <row r="5" spans="1:16" ht="19.899999999999999" customHeight="1" x14ac:dyDescent="0.25">
      <c r="A5" s="257" t="s">
        <v>151</v>
      </c>
      <c r="B5" s="257"/>
      <c r="C5" s="257"/>
      <c r="D5" s="257"/>
      <c r="E5" s="253"/>
      <c r="F5" s="253"/>
      <c r="G5" s="253"/>
      <c r="H5" s="253"/>
      <c r="I5" s="253"/>
      <c r="J5" s="287"/>
      <c r="K5" s="288"/>
      <c r="L5" s="288"/>
      <c r="M5" s="288"/>
      <c r="N5" s="289"/>
      <c r="O5" s="139"/>
    </row>
    <row r="6" spans="1:16" ht="19.899999999999999" customHeight="1" x14ac:dyDescent="0.25">
      <c r="A6" s="258" t="s">
        <v>157</v>
      </c>
      <c r="B6" s="259"/>
      <c r="C6" s="259"/>
      <c r="D6" s="260"/>
      <c r="E6" s="253"/>
      <c r="F6" s="253"/>
      <c r="G6" s="253"/>
      <c r="H6" s="253"/>
      <c r="I6" s="253"/>
      <c r="J6" s="287"/>
      <c r="K6" s="288"/>
      <c r="L6" s="288"/>
      <c r="M6" s="288"/>
      <c r="N6" s="289"/>
      <c r="O6" s="139"/>
    </row>
    <row r="7" spans="1:16" ht="19.899999999999999" customHeight="1" x14ac:dyDescent="0.25">
      <c r="A7" s="261" t="s">
        <v>158</v>
      </c>
      <c r="B7" s="261"/>
      <c r="C7" s="261"/>
      <c r="D7" s="261"/>
      <c r="E7" s="253"/>
      <c r="F7" s="253"/>
      <c r="G7" s="253"/>
      <c r="H7" s="253"/>
      <c r="I7" s="253"/>
      <c r="J7" s="290"/>
      <c r="K7" s="291"/>
      <c r="L7" s="291"/>
      <c r="M7" s="291"/>
      <c r="N7" s="292"/>
      <c r="O7" s="139"/>
    </row>
    <row r="8" spans="1:16" ht="19.899999999999999" customHeight="1" x14ac:dyDescent="0.25">
      <c r="A8" s="249" t="s">
        <v>112</v>
      </c>
      <c r="B8" s="250"/>
      <c r="C8" s="251"/>
      <c r="D8" s="89">
        <v>187</v>
      </c>
      <c r="E8" s="62"/>
      <c r="F8" s="62"/>
      <c r="G8" s="62"/>
      <c r="H8" s="62"/>
      <c r="I8" s="62"/>
      <c r="J8" s="62"/>
      <c r="K8" s="62"/>
      <c r="L8" s="62"/>
      <c r="M8" s="62"/>
      <c r="N8" s="62"/>
      <c r="O8" s="139"/>
    </row>
    <row r="9" spans="1:16" ht="19.899999999999999" customHeight="1" x14ac:dyDescent="0.25">
      <c r="A9" s="233" t="s">
        <v>0</v>
      </c>
      <c r="B9" s="238" t="s">
        <v>19</v>
      </c>
      <c r="C9" s="238" t="s">
        <v>8</v>
      </c>
      <c r="D9" s="238" t="s">
        <v>9</v>
      </c>
      <c r="E9" s="241" t="s">
        <v>11</v>
      </c>
      <c r="F9" s="242"/>
      <c r="G9" s="241" t="s">
        <v>13</v>
      </c>
      <c r="H9" s="242"/>
      <c r="I9" s="233" t="s">
        <v>16</v>
      </c>
      <c r="J9" s="233" t="s">
        <v>32</v>
      </c>
      <c r="K9" s="233" t="s">
        <v>33</v>
      </c>
      <c r="L9" s="233" t="s">
        <v>17</v>
      </c>
      <c r="M9" s="233" t="s">
        <v>34</v>
      </c>
      <c r="N9" s="233" t="s">
        <v>18</v>
      </c>
      <c r="O9" s="140"/>
    </row>
    <row r="10" spans="1:16" ht="19.899999999999999" customHeight="1" x14ac:dyDescent="0.25">
      <c r="A10" s="236"/>
      <c r="B10" s="239"/>
      <c r="C10" s="239"/>
      <c r="D10" s="239"/>
      <c r="E10" s="243"/>
      <c r="F10" s="244"/>
      <c r="G10" s="243"/>
      <c r="H10" s="244"/>
      <c r="I10" s="234"/>
      <c r="J10" s="234"/>
      <c r="K10" s="234"/>
      <c r="L10" s="234"/>
      <c r="M10" s="234"/>
      <c r="N10" s="236"/>
      <c r="O10" s="132"/>
    </row>
    <row r="11" spans="1:16" ht="19.899999999999999" customHeight="1" x14ac:dyDescent="0.25">
      <c r="A11" s="236"/>
      <c r="B11" s="239"/>
      <c r="C11" s="239"/>
      <c r="D11" s="239"/>
      <c r="E11" s="233" t="s">
        <v>10</v>
      </c>
      <c r="F11" s="233" t="s">
        <v>12</v>
      </c>
      <c r="G11" s="233" t="s">
        <v>14</v>
      </c>
      <c r="H11" s="233" t="s">
        <v>15</v>
      </c>
      <c r="I11" s="234"/>
      <c r="J11" s="234"/>
      <c r="K11" s="234"/>
      <c r="L11" s="234"/>
      <c r="M11" s="234"/>
      <c r="N11" s="236"/>
      <c r="O11" s="132"/>
    </row>
    <row r="12" spans="1:16" ht="19.899999999999999" customHeight="1" x14ac:dyDescent="0.25">
      <c r="A12" s="237"/>
      <c r="B12" s="240"/>
      <c r="C12" s="240"/>
      <c r="D12" s="240"/>
      <c r="E12" s="235"/>
      <c r="F12" s="235"/>
      <c r="G12" s="235"/>
      <c r="H12" s="235"/>
      <c r="I12" s="235"/>
      <c r="J12" s="235"/>
      <c r="K12" s="235"/>
      <c r="L12" s="235"/>
      <c r="M12" s="235"/>
      <c r="N12" s="237"/>
      <c r="O12" s="132"/>
    </row>
    <row r="13" spans="1:16" ht="19.899999999999999" customHeight="1" x14ac:dyDescent="0.25">
      <c r="A13" s="246" t="s">
        <v>35</v>
      </c>
      <c r="B13" s="247"/>
      <c r="C13" s="247"/>
      <c r="D13" s="247"/>
      <c r="E13" s="247"/>
      <c r="F13" s="247"/>
      <c r="G13" s="247"/>
      <c r="H13" s="247"/>
      <c r="I13" s="247"/>
      <c r="J13" s="247"/>
      <c r="K13" s="247"/>
      <c r="L13" s="247"/>
      <c r="M13" s="247"/>
      <c r="N13" s="248"/>
      <c r="O13" s="132"/>
    </row>
    <row r="14" spans="1:16" ht="19.899999999999999" customHeight="1" x14ac:dyDescent="0.25">
      <c r="A14" s="32">
        <v>1</v>
      </c>
      <c r="B14" s="33" t="s">
        <v>2</v>
      </c>
      <c r="C14" s="34">
        <f>L14/100*100</f>
        <v>240</v>
      </c>
      <c r="D14" s="35">
        <f>C14/100*60</f>
        <v>144</v>
      </c>
      <c r="E14" s="36">
        <f>C14/100*15</f>
        <v>36</v>
      </c>
      <c r="F14" s="36"/>
      <c r="G14" s="36"/>
      <c r="H14" s="36"/>
      <c r="I14" s="36"/>
      <c r="J14" s="36">
        <f>C14/100*387</f>
        <v>928.8</v>
      </c>
      <c r="K14" s="36">
        <f>C14/100*0.09</f>
        <v>0.216</v>
      </c>
      <c r="L14" s="123">
        <v>240</v>
      </c>
      <c r="M14" s="38">
        <v>20</v>
      </c>
      <c r="N14" s="34">
        <f>L14*M14</f>
        <v>4800</v>
      </c>
      <c r="O14" s="3"/>
    </row>
    <row r="15" spans="1:16" ht="19.899999999999999" customHeight="1" x14ac:dyDescent="0.25">
      <c r="A15" s="7">
        <v>2</v>
      </c>
      <c r="B15" s="8" t="s">
        <v>121</v>
      </c>
      <c r="C15" s="10">
        <f>L15/100*100</f>
        <v>990</v>
      </c>
      <c r="D15" s="57">
        <f>C15/100*899</f>
        <v>8900.1</v>
      </c>
      <c r="E15" s="12"/>
      <c r="F15" s="12"/>
      <c r="G15" s="81">
        <f>C15/100*99.6</f>
        <v>986.04</v>
      </c>
      <c r="H15" s="12"/>
      <c r="I15" s="12"/>
      <c r="J15" s="12"/>
      <c r="K15" s="12"/>
      <c r="L15" s="99">
        <v>990</v>
      </c>
      <c r="M15" s="57">
        <v>68</v>
      </c>
      <c r="N15" s="83">
        <f t="shared" ref="N15:N25" si="0">L15*M15</f>
        <v>67320</v>
      </c>
      <c r="O15" s="141"/>
    </row>
    <row r="16" spans="1:16" ht="19.899999999999999" customHeight="1" x14ac:dyDescent="0.25">
      <c r="A16" s="7">
        <v>3</v>
      </c>
      <c r="B16" s="8" t="s">
        <v>126</v>
      </c>
      <c r="C16" s="10">
        <f>L16/100*100</f>
        <v>220.00000000000003</v>
      </c>
      <c r="D16" s="57">
        <f>C16/100*900</f>
        <v>1980.0000000000002</v>
      </c>
      <c r="E16" s="12"/>
      <c r="F16" s="12"/>
      <c r="G16" s="81"/>
      <c r="H16" s="12">
        <f>C16/100*100</f>
        <v>220.00000000000003</v>
      </c>
      <c r="I16" s="12"/>
      <c r="J16" s="12"/>
      <c r="K16" s="12"/>
      <c r="L16" s="99">
        <v>220</v>
      </c>
      <c r="M16" s="57">
        <v>63.5</v>
      </c>
      <c r="N16" s="83">
        <f t="shared" si="0"/>
        <v>13970</v>
      </c>
      <c r="O16" s="141"/>
    </row>
    <row r="17" spans="1:20" ht="19.899999999999999" customHeight="1" x14ac:dyDescent="0.25">
      <c r="A17" s="7">
        <v>4</v>
      </c>
      <c r="B17" s="4" t="s">
        <v>1</v>
      </c>
      <c r="C17" s="10">
        <f>L17/100*100</f>
        <v>17765</v>
      </c>
      <c r="D17" s="57">
        <f>C17/100*344</f>
        <v>61111.6</v>
      </c>
      <c r="E17" s="81"/>
      <c r="F17" s="81">
        <f>C17/100*7.9</f>
        <v>1403.4350000000002</v>
      </c>
      <c r="G17" s="12"/>
      <c r="H17" s="12">
        <f>C17/100*1</f>
        <v>177.65</v>
      </c>
      <c r="I17" s="81">
        <f>C17/100*68.2</f>
        <v>12115.730000000001</v>
      </c>
      <c r="J17" s="81">
        <f>C17/100*30</f>
        <v>5329.5</v>
      </c>
      <c r="K17" s="12">
        <f>C17/100*0.1</f>
        <v>17.765000000000001</v>
      </c>
      <c r="L17" s="99">
        <v>17765</v>
      </c>
      <c r="M17" s="17">
        <v>18</v>
      </c>
      <c r="N17" s="82">
        <f t="shared" si="0"/>
        <v>319770</v>
      </c>
      <c r="O17" s="3"/>
    </row>
    <row r="18" spans="1:20" ht="19.899999999999999" customHeight="1" x14ac:dyDescent="0.25">
      <c r="A18" s="7">
        <v>5</v>
      </c>
      <c r="B18" s="4" t="s">
        <v>4</v>
      </c>
      <c r="C18" s="10">
        <f>L18/100*98</f>
        <v>5684</v>
      </c>
      <c r="D18" s="11">
        <f>C18/100*118</f>
        <v>6707.1200000000008</v>
      </c>
      <c r="E18" s="81">
        <f>C18/100*28</f>
        <v>1591.52</v>
      </c>
      <c r="F18" s="81"/>
      <c r="G18" s="12">
        <f>C18/100*3.8</f>
        <v>215.99199999999999</v>
      </c>
      <c r="H18" s="12"/>
      <c r="I18" s="12"/>
      <c r="J18" s="19">
        <f>C18/100*12</f>
        <v>682.08</v>
      </c>
      <c r="K18" s="19">
        <f>C18/100*0.1</f>
        <v>5.6840000000000011</v>
      </c>
      <c r="L18" s="99">
        <v>5800</v>
      </c>
      <c r="M18" s="13">
        <v>250</v>
      </c>
      <c r="N18" s="130">
        <f t="shared" si="0"/>
        <v>1450000</v>
      </c>
      <c r="O18" s="3"/>
      <c r="Q18" s="2"/>
      <c r="R18" s="2"/>
      <c r="S18" s="3"/>
    </row>
    <row r="19" spans="1:20" ht="19.899999999999999" customHeight="1" x14ac:dyDescent="0.25">
      <c r="A19" s="7">
        <v>6</v>
      </c>
      <c r="B19" s="4" t="s">
        <v>20</v>
      </c>
      <c r="C19" s="10">
        <f>L19/100*95</f>
        <v>902.5</v>
      </c>
      <c r="D19" s="11">
        <f>C19/100*20</f>
        <v>180.5</v>
      </c>
      <c r="E19" s="12"/>
      <c r="F19" s="12">
        <f>C19/100*0.6</f>
        <v>5.415</v>
      </c>
      <c r="G19" s="12"/>
      <c r="H19" s="12">
        <f>C19/100*0.2</f>
        <v>1.8050000000000002</v>
      </c>
      <c r="I19" s="12">
        <f>C19/100*4</f>
        <v>36.1</v>
      </c>
      <c r="J19" s="18">
        <f>C19/100*12</f>
        <v>108.30000000000001</v>
      </c>
      <c r="K19" s="18">
        <f>C19/100*0.04</f>
        <v>0.36100000000000004</v>
      </c>
      <c r="L19" s="144">
        <v>950</v>
      </c>
      <c r="M19" s="17">
        <v>40</v>
      </c>
      <c r="N19" s="10">
        <f t="shared" si="0"/>
        <v>38000</v>
      </c>
      <c r="O19" s="3"/>
      <c r="Q19" s="2"/>
      <c r="R19" s="2"/>
    </row>
    <row r="20" spans="1:20" ht="19.899999999999999" customHeight="1" x14ac:dyDescent="0.25">
      <c r="A20" s="7">
        <v>7</v>
      </c>
      <c r="B20" s="4" t="s">
        <v>3</v>
      </c>
      <c r="C20" s="10">
        <f>L20/100*48</f>
        <v>1075.1999999999998</v>
      </c>
      <c r="D20" s="11">
        <f>C20/100*199</f>
        <v>2139.6479999999997</v>
      </c>
      <c r="E20" s="12">
        <f>C20/100*25.3</f>
        <v>272.0256</v>
      </c>
      <c r="F20" s="12"/>
      <c r="G20" s="12">
        <f>C20/100*13.1</f>
        <v>140.85119999999998</v>
      </c>
      <c r="H20" s="12"/>
      <c r="I20" s="12"/>
      <c r="J20" s="19">
        <f>C20/100*12</f>
        <v>129.024</v>
      </c>
      <c r="K20" s="19">
        <f>C20/100*0.15</f>
        <v>1.6127999999999998</v>
      </c>
      <c r="L20" s="99">
        <v>2240</v>
      </c>
      <c r="M20" s="13">
        <v>84</v>
      </c>
      <c r="N20" s="83">
        <f t="shared" si="0"/>
        <v>188160</v>
      </c>
      <c r="O20" s="3"/>
      <c r="Q20" s="2"/>
      <c r="R20" s="2"/>
      <c r="S20" s="3"/>
    </row>
    <row r="21" spans="1:20" ht="19.899999999999999" customHeight="1" x14ac:dyDescent="0.25">
      <c r="A21" s="7">
        <v>8</v>
      </c>
      <c r="B21" s="8" t="s">
        <v>127</v>
      </c>
      <c r="C21" s="10">
        <f>L21/100*92</f>
        <v>1389.2</v>
      </c>
      <c r="D21" s="11">
        <f>C21/100*58</f>
        <v>805.7360000000001</v>
      </c>
      <c r="E21" s="12">
        <f>C21/100*11.7</f>
        <v>162.53640000000001</v>
      </c>
      <c r="F21" s="12"/>
      <c r="G21" s="12">
        <f>C21/100*1.2</f>
        <v>16.670400000000001</v>
      </c>
      <c r="H21" s="12"/>
      <c r="I21" s="12"/>
      <c r="J21" s="131">
        <f>C21/100*910</f>
        <v>12641.720000000001</v>
      </c>
      <c r="K21" s="19"/>
      <c r="L21" s="99">
        <v>1510</v>
      </c>
      <c r="M21" s="91">
        <v>155</v>
      </c>
      <c r="N21" s="83">
        <f t="shared" si="0"/>
        <v>234050</v>
      </c>
      <c r="O21" s="3"/>
    </row>
    <row r="22" spans="1:20" ht="19.899999999999999" customHeight="1" x14ac:dyDescent="0.25">
      <c r="A22" s="7">
        <v>9</v>
      </c>
      <c r="B22" s="4" t="s">
        <v>135</v>
      </c>
      <c r="C22" s="10">
        <f>L22/100*81</f>
        <v>2276.1</v>
      </c>
      <c r="D22" s="11">
        <f>C22/100*17</f>
        <v>386.93700000000001</v>
      </c>
      <c r="E22" s="14"/>
      <c r="F22" s="14">
        <f>C22/100*0.9</f>
        <v>20.4849</v>
      </c>
      <c r="G22" s="14"/>
      <c r="H22" s="14">
        <f>C22/100*0.2</f>
        <v>4.5522</v>
      </c>
      <c r="I22" s="14">
        <f>C22/100*2.8</f>
        <v>63.730799999999995</v>
      </c>
      <c r="J22" s="12">
        <f>C22/100*28</f>
        <v>637.30799999999999</v>
      </c>
      <c r="K22" s="19">
        <f>C22/100*0.04</f>
        <v>0.91044000000000003</v>
      </c>
      <c r="L22" s="144">
        <v>2810</v>
      </c>
      <c r="M22" s="17">
        <v>20</v>
      </c>
      <c r="N22" s="10">
        <f t="shared" si="0"/>
        <v>56200</v>
      </c>
      <c r="O22" s="3"/>
      <c r="P22" s="2"/>
    </row>
    <row r="23" spans="1:20" ht="20.45" customHeight="1" x14ac:dyDescent="0.25">
      <c r="A23" s="7">
        <v>10</v>
      </c>
      <c r="B23" s="4" t="s">
        <v>159</v>
      </c>
      <c r="C23" s="10">
        <f>L23/100*65</f>
        <v>4257.5</v>
      </c>
      <c r="D23" s="11">
        <f>C23/100*14</f>
        <v>596.05000000000007</v>
      </c>
      <c r="E23" s="12"/>
      <c r="F23" s="12">
        <f>C23/100*1.6</f>
        <v>68.12</v>
      </c>
      <c r="G23" s="12"/>
      <c r="H23" s="12"/>
      <c r="I23" s="12">
        <f>C23/100*1.9</f>
        <v>80.892499999999998</v>
      </c>
      <c r="J23" s="81">
        <f>C23/100*63</f>
        <v>2682.2250000000004</v>
      </c>
      <c r="K23" s="12">
        <f>C23/100*0.01</f>
        <v>0.42575000000000002</v>
      </c>
      <c r="L23" s="99">
        <v>6550</v>
      </c>
      <c r="M23" s="17">
        <v>18</v>
      </c>
      <c r="N23" s="83">
        <f t="shared" si="0"/>
        <v>117900</v>
      </c>
      <c r="O23" s="3"/>
    </row>
    <row r="24" spans="1:20" ht="19.899999999999999" customHeight="1" x14ac:dyDescent="0.25">
      <c r="A24" s="7">
        <v>11</v>
      </c>
      <c r="B24" s="4" t="s">
        <v>168</v>
      </c>
      <c r="C24" s="10">
        <f>L24/100*78</f>
        <v>2191.8000000000002</v>
      </c>
      <c r="D24" s="11">
        <f>C24/100*37</f>
        <v>810.96600000000012</v>
      </c>
      <c r="E24" s="12"/>
      <c r="F24" s="12">
        <f>C24/100*2.8</f>
        <v>61.370400000000004</v>
      </c>
      <c r="G24" s="12"/>
      <c r="H24" s="12">
        <f>C24/100*0.1</f>
        <v>2.1918000000000002</v>
      </c>
      <c r="I24" s="12">
        <f>C24/100*6.2</f>
        <v>135.89160000000001</v>
      </c>
      <c r="J24" s="56">
        <f>C24/100*46</f>
        <v>1008.2280000000002</v>
      </c>
      <c r="K24" s="19">
        <f>C24/100*0.06</f>
        <v>1.31508</v>
      </c>
      <c r="L24" s="99">
        <v>2810</v>
      </c>
      <c r="M24" s="13">
        <v>24</v>
      </c>
      <c r="N24" s="10">
        <f t="shared" si="0"/>
        <v>67440</v>
      </c>
      <c r="O24" s="3"/>
    </row>
    <row r="25" spans="1:20" ht="19.899999999999999" customHeight="1" x14ac:dyDescent="0.25">
      <c r="A25" s="7">
        <v>12</v>
      </c>
      <c r="B25" s="4" t="s">
        <v>117</v>
      </c>
      <c r="C25" s="10">
        <f>L25/100*100</f>
        <v>190</v>
      </c>
      <c r="D25" s="11">
        <f>C25/100*247</f>
        <v>469.29999999999995</v>
      </c>
      <c r="E25" s="14"/>
      <c r="F25" s="14">
        <f>C25/100*17.5</f>
        <v>33.25</v>
      </c>
      <c r="G25" s="14"/>
      <c r="H25" s="14">
        <f>C25/100*1.6</f>
        <v>3.04</v>
      </c>
      <c r="I25" s="14">
        <f>C25/100*39.2</f>
        <v>74.48</v>
      </c>
      <c r="J25" s="18"/>
      <c r="K25" s="18"/>
      <c r="L25" s="144">
        <v>190</v>
      </c>
      <c r="M25" s="17">
        <v>50</v>
      </c>
      <c r="N25" s="10">
        <f t="shared" si="0"/>
        <v>9500</v>
      </c>
      <c r="O25" s="3"/>
      <c r="Q25" s="2"/>
      <c r="R25" s="2"/>
      <c r="S25" s="3"/>
      <c r="T25" s="2"/>
    </row>
    <row r="26" spans="1:20" ht="19.899999999999999" customHeight="1" x14ac:dyDescent="0.25">
      <c r="A26" s="7">
        <v>13</v>
      </c>
      <c r="B26" s="8" t="s">
        <v>111</v>
      </c>
      <c r="C26" s="10"/>
      <c r="D26" s="11"/>
      <c r="E26" s="12"/>
      <c r="F26" s="12"/>
      <c r="G26" s="12"/>
      <c r="H26" s="12"/>
      <c r="I26" s="12"/>
      <c r="J26" s="12"/>
      <c r="K26" s="12"/>
      <c r="L26" s="13"/>
      <c r="M26" s="13"/>
      <c r="N26" s="10">
        <v>14250</v>
      </c>
      <c r="O26" s="3"/>
    </row>
    <row r="27" spans="1:20" ht="19.899999999999999" customHeight="1" x14ac:dyDescent="0.25">
      <c r="A27" s="20" t="s">
        <v>97</v>
      </c>
      <c r="B27" s="21"/>
      <c r="C27" s="22"/>
      <c r="D27" s="84">
        <f>SUM(D14:D26)</f>
        <v>84231.957000000009</v>
      </c>
      <c r="E27" s="24"/>
      <c r="F27" s="24"/>
      <c r="G27" s="24"/>
      <c r="H27" s="24"/>
      <c r="I27" s="24"/>
      <c r="J27" s="24"/>
      <c r="K27" s="24"/>
      <c r="L27" s="25"/>
      <c r="M27" s="25"/>
      <c r="N27" s="282">
        <f>SUM(N14:N26)</f>
        <v>2581360</v>
      </c>
      <c r="O27" s="3"/>
    </row>
    <row r="28" spans="1:20" ht="19.899999999999999" customHeight="1" x14ac:dyDescent="0.25">
      <c r="A28" s="20" t="s">
        <v>6</v>
      </c>
      <c r="B28" s="21"/>
      <c r="C28" s="22"/>
      <c r="D28" s="23">
        <f>D27/D8</f>
        <v>450.43827272727276</v>
      </c>
      <c r="E28" s="24"/>
      <c r="F28" s="24"/>
      <c r="G28" s="24"/>
      <c r="H28" s="24"/>
      <c r="I28" s="24"/>
      <c r="J28" s="24"/>
      <c r="K28" s="24"/>
      <c r="L28" s="25"/>
      <c r="M28" s="25"/>
      <c r="N28" s="283"/>
      <c r="O28" s="3"/>
    </row>
    <row r="29" spans="1:20" ht="19.899999999999999" customHeight="1" x14ac:dyDescent="0.25">
      <c r="A29" s="217" t="s">
        <v>37</v>
      </c>
      <c r="B29" s="218"/>
      <c r="C29" s="145" t="s">
        <v>132</v>
      </c>
      <c r="D29" s="26" t="s">
        <v>38</v>
      </c>
      <c r="E29" s="24"/>
      <c r="F29" s="24"/>
      <c r="G29" s="24"/>
      <c r="H29" s="24"/>
      <c r="I29" s="24"/>
      <c r="J29" s="24"/>
      <c r="K29" s="24"/>
      <c r="L29" s="25"/>
      <c r="M29" s="25"/>
      <c r="N29" s="27"/>
      <c r="O29" s="3"/>
    </row>
    <row r="30" spans="1:20" ht="19.899999999999999" customHeight="1" x14ac:dyDescent="0.25">
      <c r="A30" s="219"/>
      <c r="B30" s="220"/>
      <c r="C30" s="54" t="s">
        <v>58</v>
      </c>
      <c r="D30" s="26">
        <f>D28*100/1320</f>
        <v>34.124111570247941</v>
      </c>
      <c r="E30" s="24"/>
      <c r="F30" s="24"/>
      <c r="G30" s="24"/>
      <c r="H30" s="24"/>
      <c r="I30" s="24"/>
      <c r="J30" s="24"/>
      <c r="K30" s="24"/>
      <c r="L30" s="25"/>
      <c r="M30" s="25"/>
      <c r="N30" s="27"/>
      <c r="O30" s="3"/>
    </row>
    <row r="31" spans="1:20" ht="19.899999999999999" customHeight="1" x14ac:dyDescent="0.3">
      <c r="A31" s="245" t="s">
        <v>39</v>
      </c>
      <c r="B31" s="245"/>
      <c r="C31" s="39"/>
      <c r="D31" s="40"/>
      <c r="E31" s="41"/>
      <c r="F31" s="41"/>
      <c r="G31" s="41"/>
      <c r="H31" s="41"/>
      <c r="I31" s="41"/>
      <c r="J31" s="41"/>
      <c r="K31" s="41"/>
      <c r="L31" s="42"/>
      <c r="M31" s="42"/>
      <c r="N31" s="43"/>
      <c r="O31" s="3"/>
    </row>
    <row r="32" spans="1:20" ht="19.899999999999999" customHeight="1" x14ac:dyDescent="0.25">
      <c r="A32" s="32">
        <v>1</v>
      </c>
      <c r="B32" s="33" t="s">
        <v>2</v>
      </c>
      <c r="C32" s="34">
        <f>L32/100*100</f>
        <v>220.00000000000003</v>
      </c>
      <c r="D32" s="35">
        <f>C32/100*60</f>
        <v>132</v>
      </c>
      <c r="E32" s="36">
        <f>C32/100*15</f>
        <v>33</v>
      </c>
      <c r="F32" s="36"/>
      <c r="G32" s="36">
        <f>C33/100*6.5</f>
        <v>72.8</v>
      </c>
      <c r="H32" s="36"/>
      <c r="I32" s="36"/>
      <c r="J32" s="36"/>
      <c r="K32" s="36">
        <f>C32/100*0.09</f>
        <v>0.19800000000000001</v>
      </c>
      <c r="L32" s="123">
        <v>220</v>
      </c>
      <c r="M32" s="38">
        <v>20</v>
      </c>
      <c r="N32" s="34">
        <f>L32*M32</f>
        <v>4400</v>
      </c>
      <c r="O32" s="3"/>
    </row>
    <row r="33" spans="1:20" ht="19.899999999999999" customHeight="1" x14ac:dyDescent="0.25">
      <c r="A33" s="7">
        <v>2</v>
      </c>
      <c r="B33" s="8" t="s">
        <v>121</v>
      </c>
      <c r="C33" s="10">
        <f>L33/100*100</f>
        <v>1120</v>
      </c>
      <c r="D33" s="57">
        <f>C33/100*899</f>
        <v>10068.799999999999</v>
      </c>
      <c r="E33" s="12"/>
      <c r="F33" s="12"/>
      <c r="G33" s="81">
        <f>C33/100*100</f>
        <v>1120</v>
      </c>
      <c r="H33" s="12"/>
      <c r="I33" s="12"/>
      <c r="J33" s="19"/>
      <c r="K33" s="19"/>
      <c r="L33" s="99">
        <v>1120</v>
      </c>
      <c r="M33" s="17">
        <v>68</v>
      </c>
      <c r="N33" s="10">
        <f t="shared" ref="N33:N38" si="1">L33*M33</f>
        <v>76160</v>
      </c>
      <c r="O33" s="3"/>
    </row>
    <row r="34" spans="1:20" ht="19.899999999999999" customHeight="1" x14ac:dyDescent="0.25">
      <c r="A34" s="7">
        <v>3</v>
      </c>
      <c r="B34" s="4" t="s">
        <v>65</v>
      </c>
      <c r="C34" s="10">
        <f>L34/100*100</f>
        <v>1870</v>
      </c>
      <c r="D34" s="11">
        <f>C34/100*344</f>
        <v>6432.8</v>
      </c>
      <c r="E34" s="12"/>
      <c r="F34" s="12">
        <f>C34/100*8.6</f>
        <v>160.82</v>
      </c>
      <c r="G34" s="12"/>
      <c r="H34" s="12">
        <f>C34/100*1.5</f>
        <v>28.049999999999997</v>
      </c>
      <c r="I34" s="12">
        <f>C34/100*74.5</f>
        <v>1393.1499999999999</v>
      </c>
      <c r="J34" s="12">
        <f>C34/100*32</f>
        <v>598.4</v>
      </c>
      <c r="K34" s="12">
        <f>C34/100*0.14</f>
        <v>2.6180000000000003</v>
      </c>
      <c r="L34" s="99">
        <v>1870</v>
      </c>
      <c r="M34" s="17">
        <v>30</v>
      </c>
      <c r="N34" s="10">
        <f t="shared" si="1"/>
        <v>56100</v>
      </c>
      <c r="O34" s="3"/>
      <c r="P34" s="146"/>
    </row>
    <row r="35" spans="1:20" ht="19.899999999999999" customHeight="1" x14ac:dyDescent="0.25">
      <c r="A35" s="7">
        <v>4</v>
      </c>
      <c r="B35" s="4" t="s">
        <v>1</v>
      </c>
      <c r="C35" s="10">
        <f>L35/100*100</f>
        <v>2805</v>
      </c>
      <c r="D35" s="11">
        <f>C35/100*344</f>
        <v>9649.2000000000007</v>
      </c>
      <c r="E35" s="12"/>
      <c r="F35" s="12">
        <f>C35/100*7.9</f>
        <v>221.59500000000003</v>
      </c>
      <c r="G35" s="12"/>
      <c r="H35" s="12">
        <f>C35/100*1</f>
        <v>28.05</v>
      </c>
      <c r="I35" s="81">
        <f>C35/100*68.2</f>
        <v>1913.0100000000002</v>
      </c>
      <c r="J35" s="19">
        <f>C35/100*30</f>
        <v>841.5</v>
      </c>
      <c r="K35" s="19">
        <f>C35/100*0.1</f>
        <v>2.8050000000000002</v>
      </c>
      <c r="L35" s="99">
        <v>2805</v>
      </c>
      <c r="M35" s="17">
        <v>18</v>
      </c>
      <c r="N35" s="10">
        <f t="shared" si="1"/>
        <v>50490</v>
      </c>
      <c r="O35" s="3"/>
    </row>
    <row r="36" spans="1:20" ht="19.899999999999999" customHeight="1" x14ac:dyDescent="0.25">
      <c r="A36" s="7">
        <v>5</v>
      </c>
      <c r="B36" s="4" t="s">
        <v>117</v>
      </c>
      <c r="C36" s="10">
        <f>L36/100*100</f>
        <v>110.00000000000001</v>
      </c>
      <c r="D36" s="11">
        <f>C36/100*247</f>
        <v>271.70000000000005</v>
      </c>
      <c r="E36" s="14"/>
      <c r="F36" s="14">
        <f>C36/100*17.5</f>
        <v>19.25</v>
      </c>
      <c r="G36" s="14"/>
      <c r="H36" s="14">
        <f>C36/100*1.6</f>
        <v>1.7600000000000002</v>
      </c>
      <c r="I36" s="14">
        <f>C36/100*39.2</f>
        <v>43.120000000000005</v>
      </c>
      <c r="J36" s="18"/>
      <c r="K36" s="18"/>
      <c r="L36" s="144">
        <v>110</v>
      </c>
      <c r="M36" s="17">
        <v>50</v>
      </c>
      <c r="N36" s="10">
        <f t="shared" si="1"/>
        <v>5500</v>
      </c>
      <c r="O36" s="3"/>
      <c r="Q36" s="2"/>
      <c r="R36" s="2"/>
      <c r="S36" s="3"/>
      <c r="T36" s="2"/>
    </row>
    <row r="37" spans="1:20" ht="19.899999999999999" customHeight="1" x14ac:dyDescent="0.25">
      <c r="A37" s="7">
        <v>6</v>
      </c>
      <c r="B37" s="4" t="s">
        <v>3</v>
      </c>
      <c r="C37" s="10">
        <f>L37/100*48</f>
        <v>2289.6000000000004</v>
      </c>
      <c r="D37" s="11">
        <f>C37/100*199</f>
        <v>4556.304000000001</v>
      </c>
      <c r="E37" s="12">
        <f>C37/100*25.3</f>
        <v>579.26880000000017</v>
      </c>
      <c r="F37" s="12"/>
      <c r="G37" s="12">
        <f>C37/100*13.1</f>
        <v>299.93760000000003</v>
      </c>
      <c r="H37" s="12"/>
      <c r="I37" s="12"/>
      <c r="J37" s="19">
        <f>C37/100*12</f>
        <v>274.75200000000007</v>
      </c>
      <c r="K37" s="19">
        <f>C37/100*0.15</f>
        <v>3.4344000000000006</v>
      </c>
      <c r="L37" s="99">
        <v>4770</v>
      </c>
      <c r="M37" s="13">
        <v>84</v>
      </c>
      <c r="N37" s="83">
        <f t="shared" si="1"/>
        <v>400680</v>
      </c>
      <c r="O37" s="3"/>
      <c r="Q37" s="2"/>
      <c r="R37" s="2"/>
      <c r="S37" s="3"/>
    </row>
    <row r="38" spans="1:20" ht="19.899999999999999" customHeight="1" x14ac:dyDescent="0.25">
      <c r="A38" s="7">
        <v>7</v>
      </c>
      <c r="B38" s="4" t="s">
        <v>5</v>
      </c>
      <c r="C38" s="10">
        <f>L38/100*98.5</f>
        <v>3733.1499999999996</v>
      </c>
      <c r="D38" s="11">
        <f>C38/100*39</f>
        <v>1455.9285</v>
      </c>
      <c r="E38" s="14"/>
      <c r="F38" s="14">
        <f>C38/100*1.5</f>
        <v>55.997249999999994</v>
      </c>
      <c r="G38" s="14"/>
      <c r="H38" s="14">
        <f>C38/100*0.2</f>
        <v>7.4663000000000004</v>
      </c>
      <c r="I38" s="14">
        <f>C38/100*7.8</f>
        <v>291.1857</v>
      </c>
      <c r="J38" s="111">
        <f>C38/100*43</f>
        <v>1605.2545</v>
      </c>
      <c r="K38" s="14">
        <f>C38/100*0.06</f>
        <v>2.2398899999999999</v>
      </c>
      <c r="L38" s="144">
        <v>3790</v>
      </c>
      <c r="M38" s="13">
        <v>17</v>
      </c>
      <c r="N38" s="10">
        <f t="shared" si="1"/>
        <v>64430</v>
      </c>
      <c r="O38" s="3"/>
      <c r="Q38" s="2"/>
      <c r="R38" s="2"/>
      <c r="S38" s="3"/>
    </row>
    <row r="39" spans="1:20" ht="19.899999999999999" customHeight="1" x14ac:dyDescent="0.25">
      <c r="A39" s="7">
        <v>8</v>
      </c>
      <c r="B39" s="4" t="s">
        <v>61</v>
      </c>
      <c r="C39" s="10">
        <f>L39/100*100</f>
        <v>190</v>
      </c>
      <c r="D39" s="11">
        <f>C39/100*334</f>
        <v>634.6</v>
      </c>
      <c r="E39" s="12"/>
      <c r="F39" s="12">
        <f>C39/100*20</f>
        <v>38</v>
      </c>
      <c r="G39" s="12"/>
      <c r="H39" s="12">
        <f>C39/100*2.4</f>
        <v>4.5599999999999996</v>
      </c>
      <c r="I39" s="12">
        <f>C39/100*58</f>
        <v>110.19999999999999</v>
      </c>
      <c r="J39" s="19">
        <f>C39/100*89</f>
        <v>169.1</v>
      </c>
      <c r="K39" s="19">
        <f>C39/100*0.64</f>
        <v>1.216</v>
      </c>
      <c r="L39" s="99">
        <v>190</v>
      </c>
      <c r="M39" s="91">
        <v>190</v>
      </c>
      <c r="N39" s="10">
        <f>L39*M39</f>
        <v>36100</v>
      </c>
      <c r="O39" s="3"/>
    </row>
    <row r="40" spans="1:20" ht="19.899999999999999" customHeight="1" x14ac:dyDescent="0.25">
      <c r="A40" s="7">
        <v>9</v>
      </c>
      <c r="B40" s="125" t="s">
        <v>130</v>
      </c>
      <c r="C40" s="10">
        <f>L40/100*100</f>
        <v>3180</v>
      </c>
      <c r="D40" s="57">
        <f>C40/100*437</f>
        <v>13896.6</v>
      </c>
      <c r="E40" s="14"/>
      <c r="F40" s="14">
        <f>C40/100*19.5</f>
        <v>620.1</v>
      </c>
      <c r="G40" s="14"/>
      <c r="H40" s="14">
        <f>C40/100*23.2</f>
        <v>737.76</v>
      </c>
      <c r="I40" s="14">
        <f>C40/100*46</f>
        <v>1462.8</v>
      </c>
      <c r="J40" s="81">
        <f>C40/100*680</f>
        <v>21624</v>
      </c>
      <c r="K40" s="12">
        <f>C40/100*0.55</f>
        <v>17.490000000000002</v>
      </c>
      <c r="L40" s="143">
        <v>3180</v>
      </c>
      <c r="M40" s="91">
        <v>260</v>
      </c>
      <c r="N40" s="83">
        <f t="shared" ref="N40" si="2">L40*M40</f>
        <v>826800</v>
      </c>
      <c r="O40" s="3"/>
      <c r="P40" s="2"/>
    </row>
    <row r="41" spans="1:20" ht="19.899999999999999" customHeight="1" x14ac:dyDescent="0.25">
      <c r="A41" s="69">
        <v>10</v>
      </c>
      <c r="B41" s="70" t="s">
        <v>111</v>
      </c>
      <c r="C41" s="71"/>
      <c r="D41" s="161"/>
      <c r="E41" s="93"/>
      <c r="F41" s="73"/>
      <c r="G41" s="73"/>
      <c r="H41" s="73"/>
      <c r="I41" s="73"/>
      <c r="J41" s="73"/>
      <c r="K41" s="73"/>
      <c r="L41" s="74"/>
      <c r="M41" s="74"/>
      <c r="N41" s="71">
        <v>12050</v>
      </c>
      <c r="O41" s="3"/>
    </row>
    <row r="42" spans="1:20" ht="20.45" customHeight="1" x14ac:dyDescent="0.25">
      <c r="A42" s="233" t="s">
        <v>0</v>
      </c>
      <c r="B42" s="238" t="s">
        <v>19</v>
      </c>
      <c r="C42" s="238" t="s">
        <v>8</v>
      </c>
      <c r="D42" s="238" t="s">
        <v>9</v>
      </c>
      <c r="E42" s="241" t="s">
        <v>11</v>
      </c>
      <c r="F42" s="242"/>
      <c r="G42" s="241" t="s">
        <v>13</v>
      </c>
      <c r="H42" s="242"/>
      <c r="I42" s="233" t="s">
        <v>16</v>
      </c>
      <c r="J42" s="233" t="s">
        <v>32</v>
      </c>
      <c r="K42" s="233" t="s">
        <v>33</v>
      </c>
      <c r="L42" s="233" t="s">
        <v>17</v>
      </c>
      <c r="M42" s="233" t="s">
        <v>34</v>
      </c>
      <c r="N42" s="233" t="s">
        <v>18</v>
      </c>
      <c r="O42" s="140"/>
    </row>
    <row r="43" spans="1:20" ht="20.45" customHeight="1" x14ac:dyDescent="0.25">
      <c r="A43" s="236"/>
      <c r="B43" s="239"/>
      <c r="C43" s="239"/>
      <c r="D43" s="239"/>
      <c r="E43" s="243"/>
      <c r="F43" s="244"/>
      <c r="G43" s="243"/>
      <c r="H43" s="244"/>
      <c r="I43" s="234"/>
      <c r="J43" s="234"/>
      <c r="K43" s="234"/>
      <c r="L43" s="234"/>
      <c r="M43" s="234"/>
      <c r="N43" s="236"/>
      <c r="O43" s="132"/>
    </row>
    <row r="44" spans="1:20" ht="20.45" customHeight="1" x14ac:dyDescent="0.25">
      <c r="A44" s="236"/>
      <c r="B44" s="239"/>
      <c r="C44" s="239"/>
      <c r="D44" s="239"/>
      <c r="E44" s="233" t="s">
        <v>10</v>
      </c>
      <c r="F44" s="233" t="s">
        <v>12</v>
      </c>
      <c r="G44" s="233" t="s">
        <v>14</v>
      </c>
      <c r="H44" s="233" t="s">
        <v>15</v>
      </c>
      <c r="I44" s="234"/>
      <c r="J44" s="234"/>
      <c r="K44" s="234"/>
      <c r="L44" s="234"/>
      <c r="M44" s="234"/>
      <c r="N44" s="236"/>
      <c r="O44" s="132"/>
    </row>
    <row r="45" spans="1:20" ht="20.45" customHeight="1" x14ac:dyDescent="0.25">
      <c r="A45" s="237"/>
      <c r="B45" s="240"/>
      <c r="C45" s="240"/>
      <c r="D45" s="240"/>
      <c r="E45" s="235"/>
      <c r="F45" s="235"/>
      <c r="G45" s="235"/>
      <c r="H45" s="235"/>
      <c r="I45" s="235"/>
      <c r="J45" s="235"/>
      <c r="K45" s="235"/>
      <c r="L45" s="235"/>
      <c r="M45" s="235"/>
      <c r="N45" s="237"/>
      <c r="O45" s="132"/>
    </row>
    <row r="46" spans="1:20" ht="20.45" customHeight="1" x14ac:dyDescent="0.25">
      <c r="A46" s="214" t="s">
        <v>98</v>
      </c>
      <c r="B46" s="214"/>
      <c r="C46" s="22"/>
      <c r="D46" s="84">
        <f>SUM(D32:D41)</f>
        <v>47097.932499999995</v>
      </c>
      <c r="E46" s="5"/>
      <c r="F46" s="5"/>
      <c r="G46" s="5"/>
      <c r="H46" s="5"/>
      <c r="I46" s="5"/>
      <c r="J46" s="5"/>
      <c r="K46" s="5"/>
      <c r="L46" s="28"/>
      <c r="M46" s="28"/>
      <c r="N46" s="280">
        <f>SUM(N32:N41)</f>
        <v>1532710</v>
      </c>
      <c r="O46" s="3"/>
    </row>
    <row r="47" spans="1:20" ht="20.45" customHeight="1" x14ac:dyDescent="0.25">
      <c r="A47" s="214" t="s">
        <v>7</v>
      </c>
      <c r="B47" s="214"/>
      <c r="C47" s="29"/>
      <c r="D47" s="30">
        <f>D46/D8</f>
        <v>251.86060160427806</v>
      </c>
      <c r="E47" s="30"/>
      <c r="F47" s="30"/>
      <c r="G47" s="30"/>
      <c r="H47" s="30"/>
      <c r="I47" s="30"/>
      <c r="J47" s="30"/>
      <c r="K47" s="30"/>
      <c r="L47" s="28"/>
      <c r="M47" s="28"/>
      <c r="N47" s="281"/>
      <c r="O47" s="3"/>
    </row>
    <row r="48" spans="1:20" ht="20.45" customHeight="1" x14ac:dyDescent="0.25">
      <c r="A48" s="217" t="s">
        <v>40</v>
      </c>
      <c r="B48" s="218"/>
      <c r="C48" s="145" t="s">
        <v>132</v>
      </c>
      <c r="D48" s="26" t="s">
        <v>41</v>
      </c>
      <c r="E48" s="30"/>
      <c r="F48" s="30"/>
      <c r="G48" s="30"/>
      <c r="H48" s="30"/>
      <c r="I48" s="30"/>
      <c r="J48" s="31"/>
      <c r="K48" s="31"/>
      <c r="L48" s="28"/>
      <c r="M48" s="28"/>
      <c r="N48" s="137"/>
      <c r="O48" s="3"/>
    </row>
    <row r="49" spans="1:22" ht="20.45" customHeight="1" x14ac:dyDescent="0.25">
      <c r="A49" s="219"/>
      <c r="B49" s="220"/>
      <c r="C49" s="54" t="s">
        <v>58</v>
      </c>
      <c r="D49" s="26">
        <f>D47*100/1320</f>
        <v>19.0803486063847</v>
      </c>
      <c r="E49" s="30"/>
      <c r="F49" s="30"/>
      <c r="G49" s="30"/>
      <c r="H49" s="30"/>
      <c r="I49" s="30"/>
      <c r="J49" s="31"/>
      <c r="K49" s="31"/>
      <c r="L49" s="28"/>
      <c r="M49" s="28"/>
      <c r="N49" s="137"/>
      <c r="O49" s="3"/>
    </row>
    <row r="50" spans="1:22" ht="20.45" customHeight="1" x14ac:dyDescent="0.25">
      <c r="A50" s="221" t="s">
        <v>99</v>
      </c>
      <c r="B50" s="222"/>
      <c r="C50" s="225"/>
      <c r="D50" s="276">
        <f>D27+D46</f>
        <v>131329.88949999999</v>
      </c>
      <c r="E50" s="85">
        <f t="shared" ref="E50:K50" si="3">SUM(E14:E41)</f>
        <v>2674.3508000000002</v>
      </c>
      <c r="F50" s="85">
        <f t="shared" si="3"/>
        <v>2707.8375500000002</v>
      </c>
      <c r="G50" s="85">
        <f t="shared" si="3"/>
        <v>2852.2912000000001</v>
      </c>
      <c r="H50" s="86">
        <f t="shared" si="3"/>
        <v>1216.8853000000001</v>
      </c>
      <c r="I50" s="278">
        <f t="shared" si="3"/>
        <v>17720.290600000004</v>
      </c>
      <c r="J50" s="231">
        <f t="shared" si="3"/>
        <v>49260.191500000001</v>
      </c>
      <c r="K50" s="229">
        <f t="shared" si="3"/>
        <v>58.291360000000019</v>
      </c>
      <c r="L50" s="193"/>
      <c r="M50" s="193"/>
      <c r="N50" s="194">
        <f>N27+N46</f>
        <v>4114070</v>
      </c>
    </row>
    <row r="51" spans="1:22" ht="20.45" customHeight="1" x14ac:dyDescent="0.25">
      <c r="A51" s="223"/>
      <c r="B51" s="224"/>
      <c r="C51" s="226"/>
      <c r="D51" s="277"/>
      <c r="E51" s="195">
        <f>E50+F50</f>
        <v>5382.1883500000004</v>
      </c>
      <c r="F51" s="196"/>
      <c r="G51" s="195">
        <f>G50+H50</f>
        <v>4069.1765000000005</v>
      </c>
      <c r="H51" s="196"/>
      <c r="I51" s="279"/>
      <c r="J51" s="232"/>
      <c r="K51" s="230"/>
      <c r="L51" s="193"/>
      <c r="M51" s="193"/>
      <c r="N51" s="194"/>
    </row>
    <row r="52" spans="1:22" ht="20.45" customHeight="1" x14ac:dyDescent="0.25">
      <c r="A52" s="268" t="s">
        <v>75</v>
      </c>
      <c r="B52" s="269"/>
      <c r="C52" s="270"/>
      <c r="D52" s="90">
        <f>D50/D8</f>
        <v>702.29887433155079</v>
      </c>
      <c r="E52" s="96">
        <f>E50/D8</f>
        <v>14.301341176470588</v>
      </c>
      <c r="F52" s="95">
        <f>F50/D8</f>
        <v>14.480414705882353</v>
      </c>
      <c r="G52" s="96">
        <f>G50/D8</f>
        <v>15.25289411764706</v>
      </c>
      <c r="H52" s="95">
        <f>H50/D8</f>
        <v>6.5074080213903747</v>
      </c>
      <c r="I52" s="274">
        <f>I50/D8</f>
        <v>94.760912299465261</v>
      </c>
      <c r="J52" s="274">
        <f>J50/D8</f>
        <v>263.42348395721928</v>
      </c>
      <c r="K52" s="206">
        <f>K50/D8</f>
        <v>0.31171850267379692</v>
      </c>
      <c r="L52" s="193"/>
      <c r="M52" s="193"/>
      <c r="N52" s="194"/>
    </row>
    <row r="53" spans="1:22" ht="20.45" customHeight="1" x14ac:dyDescent="0.25">
      <c r="A53" s="271"/>
      <c r="B53" s="272"/>
      <c r="C53" s="273"/>
      <c r="D53" s="88"/>
      <c r="E53" s="190">
        <f>E52+F52</f>
        <v>28.78175588235294</v>
      </c>
      <c r="F53" s="191"/>
      <c r="G53" s="190">
        <f>G52+H52</f>
        <v>21.760302139037435</v>
      </c>
      <c r="H53" s="191"/>
      <c r="I53" s="275"/>
      <c r="J53" s="275"/>
      <c r="K53" s="207"/>
      <c r="L53" s="193"/>
      <c r="M53" s="193"/>
      <c r="N53" s="194"/>
      <c r="P53" s="106"/>
      <c r="Q53" s="188"/>
      <c r="R53" s="188"/>
      <c r="S53" s="188"/>
      <c r="T53" s="188"/>
      <c r="U53" s="189"/>
      <c r="V53" s="189"/>
    </row>
    <row r="54" spans="1:22" ht="20.45" customHeight="1" x14ac:dyDescent="0.25">
      <c r="A54" s="211" t="s">
        <v>76</v>
      </c>
      <c r="B54" s="212"/>
      <c r="C54" s="213"/>
      <c r="D54" s="136" t="s">
        <v>27</v>
      </c>
      <c r="E54" s="184" t="s">
        <v>21</v>
      </c>
      <c r="F54" s="184"/>
      <c r="G54" s="184" t="s">
        <v>22</v>
      </c>
      <c r="H54" s="184"/>
      <c r="I54" s="136" t="s">
        <v>23</v>
      </c>
      <c r="J54" s="159">
        <v>600</v>
      </c>
      <c r="K54" s="159">
        <v>0.74</v>
      </c>
      <c r="L54" s="193"/>
      <c r="M54" s="193"/>
      <c r="N54" s="194"/>
      <c r="O54" s="147"/>
      <c r="P54" s="154"/>
      <c r="Q54" s="188"/>
      <c r="R54" s="188"/>
      <c r="S54" s="188"/>
      <c r="T54" s="188"/>
      <c r="U54" s="188"/>
      <c r="V54" s="188"/>
    </row>
    <row r="55" spans="1:22" ht="20.45" customHeight="1" x14ac:dyDescent="0.25">
      <c r="A55" s="180" t="s">
        <v>69</v>
      </c>
      <c r="B55" s="185"/>
      <c r="C55" s="181"/>
      <c r="D55" s="16"/>
      <c r="E55" s="186">
        <f>E53*4.1</f>
        <v>118.00519911764704</v>
      </c>
      <c r="F55" s="187"/>
      <c r="G55" s="186">
        <f>G53*9</f>
        <v>195.84271925133692</v>
      </c>
      <c r="H55" s="187"/>
      <c r="I55" s="60">
        <f>I52*4.1</f>
        <v>388.51974042780756</v>
      </c>
      <c r="J55" s="197"/>
      <c r="K55" s="197"/>
      <c r="L55" s="193"/>
      <c r="M55" s="193"/>
      <c r="N55" s="194"/>
      <c r="O55" s="147"/>
      <c r="P55" s="151"/>
      <c r="Q55" s="152"/>
      <c r="R55" s="152"/>
      <c r="S55" s="152"/>
      <c r="T55" s="106"/>
      <c r="U55" s="106"/>
      <c r="V55" s="106"/>
    </row>
    <row r="56" spans="1:22" ht="20.45" customHeight="1" x14ac:dyDescent="0.25">
      <c r="A56" s="176" t="s">
        <v>70</v>
      </c>
      <c r="B56" s="177"/>
      <c r="C56" s="180" t="s">
        <v>58</v>
      </c>
      <c r="D56" s="181"/>
      <c r="E56" s="266">
        <f>E55*100/D52</f>
        <v>16.802703724958207</v>
      </c>
      <c r="F56" s="267"/>
      <c r="G56" s="266">
        <f>G55*100/D52</f>
        <v>27.885950897720054</v>
      </c>
      <c r="H56" s="267"/>
      <c r="I56" s="76">
        <f>I55*100/D52</f>
        <v>55.321139564348762</v>
      </c>
      <c r="J56" s="198"/>
      <c r="K56" s="198"/>
      <c r="L56" s="193"/>
      <c r="M56" s="193"/>
      <c r="N56" s="194"/>
      <c r="O56" s="147"/>
      <c r="P56" s="106"/>
      <c r="Q56" s="153"/>
      <c r="R56" s="106"/>
      <c r="S56" s="106"/>
      <c r="T56" s="106"/>
      <c r="U56" s="106"/>
      <c r="V56" s="106"/>
    </row>
    <row r="57" spans="1:22" ht="20.45" customHeight="1" x14ac:dyDescent="0.25">
      <c r="A57" s="178"/>
      <c r="B57" s="179"/>
      <c r="C57" s="180" t="s">
        <v>71</v>
      </c>
      <c r="D57" s="181"/>
      <c r="E57" s="180" t="s">
        <v>72</v>
      </c>
      <c r="F57" s="181"/>
      <c r="G57" s="180" t="s">
        <v>73</v>
      </c>
      <c r="H57" s="181"/>
      <c r="I57" s="136" t="s">
        <v>74</v>
      </c>
      <c r="J57" s="199"/>
      <c r="K57" s="199"/>
      <c r="L57" s="193"/>
      <c r="M57" s="193"/>
      <c r="N57" s="194"/>
      <c r="O57" s="147"/>
      <c r="P57" s="2"/>
    </row>
    <row r="58" spans="1:22" ht="20.45" customHeight="1" x14ac:dyDescent="0.25">
      <c r="A58" s="63"/>
      <c r="B58" s="64"/>
      <c r="C58" s="63"/>
      <c r="D58" s="63"/>
      <c r="E58" s="63"/>
      <c r="F58" s="63"/>
      <c r="G58" s="63"/>
      <c r="H58" s="63"/>
      <c r="I58" s="63"/>
      <c r="J58" s="63"/>
      <c r="K58" s="63"/>
      <c r="L58" s="65"/>
      <c r="M58" s="65"/>
      <c r="N58" s="66"/>
      <c r="O58" s="147"/>
      <c r="Q58" s="2"/>
    </row>
    <row r="59" spans="1:22" ht="20.45" customHeight="1" x14ac:dyDescent="0.25">
      <c r="A59" s="172" t="s">
        <v>100</v>
      </c>
      <c r="B59" s="172"/>
      <c r="C59" s="172"/>
      <c r="D59" s="172"/>
      <c r="E59" s="172"/>
      <c r="F59" s="172"/>
      <c r="G59" s="172"/>
      <c r="H59" s="172"/>
      <c r="I59" s="172"/>
      <c r="J59" s="172"/>
      <c r="K59" s="172"/>
      <c r="L59" s="172"/>
      <c r="M59" s="172"/>
      <c r="N59" s="172"/>
      <c r="O59" s="147"/>
    </row>
    <row r="60" spans="1:22" ht="20.45" customHeight="1" x14ac:dyDescent="0.25">
      <c r="A60" s="77" t="s">
        <v>101</v>
      </c>
      <c r="B60" s="173" t="s">
        <v>102</v>
      </c>
      <c r="C60" s="173"/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47"/>
    </row>
    <row r="61" spans="1:22" ht="20.45" customHeight="1" x14ac:dyDescent="0.25">
      <c r="A61" s="78"/>
      <c r="B61" s="174" t="s">
        <v>176</v>
      </c>
      <c r="C61" s="174"/>
      <c r="D61" s="174"/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47"/>
    </row>
    <row r="62" spans="1:22" ht="20.45" customHeight="1" x14ac:dyDescent="0.25">
      <c r="A62" s="78"/>
      <c r="B62" s="174" t="s">
        <v>171</v>
      </c>
      <c r="C62" s="174"/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47"/>
    </row>
    <row r="63" spans="1:22" ht="20.45" customHeight="1" x14ac:dyDescent="0.25">
      <c r="A63" s="78"/>
      <c r="B63" s="174" t="s">
        <v>146</v>
      </c>
      <c r="C63" s="174"/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47"/>
    </row>
    <row r="64" spans="1:22" ht="20.45" customHeight="1" x14ac:dyDescent="0.25">
      <c r="A64" s="63"/>
      <c r="B64" s="175" t="s">
        <v>109</v>
      </c>
      <c r="C64" s="175"/>
      <c r="D64" s="175"/>
      <c r="E64" s="175"/>
      <c r="F64" s="175"/>
      <c r="G64" s="175"/>
      <c r="H64" s="175"/>
      <c r="I64" s="175"/>
      <c r="J64" s="175"/>
      <c r="K64" s="175"/>
      <c r="L64" s="175"/>
      <c r="M64" s="175"/>
      <c r="N64" s="175"/>
      <c r="O64" s="147"/>
    </row>
    <row r="65" spans="1:15" ht="20.45" customHeight="1" x14ac:dyDescent="0.25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79"/>
      <c r="M65" s="79"/>
      <c r="N65" s="80"/>
      <c r="O65" s="147"/>
    </row>
    <row r="66" spans="1:15" ht="20.45" customHeight="1" x14ac:dyDescent="0.25">
      <c r="A66" s="168" t="s">
        <v>60</v>
      </c>
      <c r="B66" s="168"/>
      <c r="C66" s="168"/>
      <c r="D66" s="168"/>
      <c r="E66" s="148"/>
      <c r="F66" s="148"/>
      <c r="G66" s="148"/>
      <c r="H66" s="148"/>
      <c r="I66" s="148"/>
      <c r="J66" s="169" t="s">
        <v>36</v>
      </c>
      <c r="K66" s="169"/>
      <c r="L66" s="169"/>
      <c r="M66" s="169"/>
      <c r="N66" s="169"/>
      <c r="O66" s="147"/>
    </row>
    <row r="67" spans="1:15" ht="20.45" customHeight="1" x14ac:dyDescent="0.25">
      <c r="A67" s="132"/>
      <c r="B67" s="132"/>
      <c r="C67" s="132"/>
      <c r="D67" s="148"/>
      <c r="E67" s="148"/>
      <c r="F67" s="148"/>
      <c r="G67" s="148"/>
      <c r="H67" s="149"/>
      <c r="I67" s="149"/>
      <c r="J67" s="149"/>
      <c r="K67" s="149"/>
      <c r="L67" s="149"/>
      <c r="M67" s="149"/>
      <c r="N67" s="149"/>
      <c r="O67" s="147"/>
    </row>
    <row r="68" spans="1:15" ht="20.45" customHeight="1" x14ac:dyDescent="0.25">
      <c r="A68" s="132"/>
      <c r="B68" s="132"/>
      <c r="C68" s="132"/>
      <c r="D68" s="148"/>
      <c r="E68" s="148"/>
      <c r="F68" s="148"/>
      <c r="G68" s="148"/>
      <c r="H68" s="149"/>
      <c r="I68" s="149"/>
      <c r="J68" s="149"/>
      <c r="K68" s="149"/>
      <c r="L68" s="149"/>
      <c r="M68" s="149"/>
      <c r="N68" s="149"/>
      <c r="O68" s="147"/>
    </row>
    <row r="69" spans="1:15" ht="20.45" customHeight="1" x14ac:dyDescent="0.25">
      <c r="A69" s="132"/>
      <c r="B69" s="132"/>
      <c r="C69" s="132"/>
      <c r="D69" s="148"/>
      <c r="E69" s="148"/>
      <c r="F69" s="148"/>
      <c r="G69" s="148"/>
      <c r="H69" s="149"/>
      <c r="I69" s="149"/>
      <c r="J69" s="170" t="s">
        <v>103</v>
      </c>
      <c r="K69" s="170"/>
      <c r="L69" s="170"/>
      <c r="M69" s="170"/>
      <c r="N69" s="170"/>
      <c r="O69" s="147"/>
    </row>
    <row r="70" spans="1:15" ht="20.45" customHeight="1" x14ac:dyDescent="0.25">
      <c r="A70" s="171" t="s">
        <v>84</v>
      </c>
      <c r="B70" s="171"/>
      <c r="C70" s="171"/>
      <c r="D70" s="171"/>
      <c r="E70" s="148"/>
      <c r="F70" s="148"/>
      <c r="G70" s="148"/>
      <c r="H70" s="149"/>
      <c r="I70" s="149"/>
      <c r="O70" s="147"/>
    </row>
    <row r="71" spans="1:15" ht="20.45" customHeight="1" x14ac:dyDescent="0.25">
      <c r="A71" s="132"/>
      <c r="B71" s="132"/>
      <c r="C71" s="132"/>
      <c r="D71" s="148"/>
      <c r="E71" s="148"/>
      <c r="F71" s="148"/>
      <c r="G71" s="148"/>
      <c r="H71" s="149"/>
      <c r="I71" s="149"/>
      <c r="J71" s="149"/>
      <c r="K71" s="149"/>
      <c r="L71" s="149"/>
      <c r="M71" s="149"/>
      <c r="N71" s="149"/>
      <c r="O71" s="147"/>
    </row>
    <row r="72" spans="1:15" ht="20.45" customHeight="1" x14ac:dyDescent="0.25">
      <c r="A72" s="132"/>
      <c r="B72" s="132"/>
      <c r="C72" s="132"/>
      <c r="D72" s="148"/>
      <c r="E72" s="148"/>
      <c r="F72" s="148"/>
      <c r="G72" s="148"/>
      <c r="H72" s="149"/>
      <c r="I72" s="149"/>
      <c r="J72" s="170" t="s">
        <v>114</v>
      </c>
      <c r="K72" s="170"/>
      <c r="L72" s="170"/>
      <c r="M72" s="170"/>
      <c r="N72" s="170"/>
      <c r="O72" s="147"/>
    </row>
    <row r="73" spans="1:15" ht="20.45" customHeight="1" x14ac:dyDescent="0.25">
      <c r="A73" s="132"/>
      <c r="B73" s="132"/>
      <c r="C73" s="132"/>
      <c r="D73" s="148"/>
      <c r="E73" s="148"/>
      <c r="F73" s="148"/>
      <c r="G73" s="148"/>
      <c r="H73" s="149"/>
      <c r="I73" s="149"/>
      <c r="J73" s="149"/>
      <c r="K73" s="149"/>
      <c r="L73" s="149"/>
      <c r="M73" s="149"/>
      <c r="N73" s="149"/>
      <c r="O73" s="147"/>
    </row>
    <row r="74" spans="1:15" ht="20.45" customHeight="1" x14ac:dyDescent="0.25">
      <c r="A74" s="132"/>
      <c r="B74" s="132"/>
      <c r="C74" s="132"/>
      <c r="D74" s="148"/>
      <c r="E74" s="148"/>
      <c r="F74" s="148"/>
      <c r="G74" s="148"/>
      <c r="H74" s="149"/>
      <c r="I74" s="149"/>
      <c r="J74" s="149"/>
      <c r="K74" s="149"/>
      <c r="L74" s="149"/>
      <c r="M74" s="149"/>
      <c r="N74" s="149"/>
      <c r="O74" s="147"/>
    </row>
    <row r="75" spans="1:15" ht="20.45" customHeight="1" x14ac:dyDescent="0.25">
      <c r="A75" s="132"/>
      <c r="B75" s="132"/>
      <c r="C75" s="132"/>
      <c r="D75" s="148"/>
      <c r="E75" s="148"/>
      <c r="F75" s="148"/>
      <c r="G75" s="148"/>
      <c r="H75" s="149"/>
      <c r="I75" s="149"/>
      <c r="J75" s="149"/>
      <c r="K75" s="149"/>
      <c r="L75" s="149"/>
      <c r="M75" s="149"/>
      <c r="N75" s="149"/>
      <c r="O75" s="147"/>
    </row>
    <row r="76" spans="1:15" ht="20.45" customHeight="1" x14ac:dyDescent="0.25">
      <c r="A76" s="132"/>
      <c r="B76" s="132"/>
      <c r="C76" s="132"/>
      <c r="D76" s="148"/>
      <c r="E76" s="148"/>
      <c r="F76" s="148"/>
      <c r="G76" s="148"/>
      <c r="H76" s="149"/>
      <c r="I76" s="149"/>
      <c r="J76" s="149"/>
      <c r="K76" s="149"/>
      <c r="L76" s="149"/>
      <c r="M76" s="149"/>
      <c r="N76" s="149"/>
      <c r="O76" s="147"/>
    </row>
    <row r="77" spans="1:15" ht="20.45" customHeight="1" x14ac:dyDescent="0.25">
      <c r="A77" s="132"/>
      <c r="B77" s="132"/>
      <c r="C77" s="132"/>
      <c r="D77" s="148"/>
      <c r="E77" s="148"/>
      <c r="F77" s="148"/>
      <c r="G77" s="148"/>
      <c r="H77" s="149"/>
      <c r="I77" s="149"/>
      <c r="J77" s="149"/>
      <c r="K77" s="149"/>
      <c r="L77" s="149"/>
      <c r="M77" s="149"/>
      <c r="N77" s="149"/>
      <c r="O77" s="147"/>
    </row>
    <row r="78" spans="1:15" ht="20.45" customHeight="1" x14ac:dyDescent="0.25">
      <c r="A78" s="132"/>
      <c r="B78" s="132"/>
      <c r="C78" s="132"/>
      <c r="D78" s="148"/>
      <c r="E78" s="148"/>
      <c r="F78" s="148"/>
      <c r="G78" s="148"/>
      <c r="H78" s="149"/>
      <c r="I78" s="149"/>
      <c r="J78" s="149"/>
      <c r="K78" s="149"/>
      <c r="L78" s="149"/>
      <c r="M78" s="149"/>
      <c r="N78" s="149"/>
      <c r="O78" s="147"/>
    </row>
    <row r="79" spans="1:15" ht="20.45" customHeight="1" x14ac:dyDescent="0.25">
      <c r="A79" s="132"/>
      <c r="B79" s="132"/>
      <c r="C79" s="132"/>
      <c r="D79" s="148"/>
      <c r="E79" s="148"/>
      <c r="F79" s="148"/>
      <c r="G79" s="148"/>
      <c r="H79" s="149"/>
      <c r="I79" s="149"/>
      <c r="J79" s="149"/>
      <c r="K79" s="149"/>
      <c r="L79" s="149"/>
      <c r="M79" s="149"/>
      <c r="N79" s="149"/>
      <c r="O79" s="147"/>
    </row>
    <row r="80" spans="1:15" ht="20.45" customHeight="1" x14ac:dyDescent="0.25">
      <c r="A80" s="132"/>
      <c r="B80" s="132"/>
      <c r="C80" s="132"/>
      <c r="D80" s="148"/>
      <c r="E80" s="148"/>
      <c r="F80" s="148"/>
      <c r="G80" s="148"/>
      <c r="H80" s="149"/>
      <c r="I80" s="149"/>
      <c r="J80" s="149"/>
      <c r="K80" s="149"/>
      <c r="L80" s="149"/>
      <c r="M80" s="149"/>
      <c r="N80" s="149"/>
      <c r="O80" s="147"/>
    </row>
    <row r="81" spans="1:16" ht="20.45" customHeight="1" x14ac:dyDescent="0.25">
      <c r="A81" s="132"/>
      <c r="B81" s="132"/>
      <c r="C81" s="132"/>
      <c r="D81" s="148"/>
      <c r="E81" s="148"/>
      <c r="F81" s="148"/>
      <c r="G81" s="148"/>
      <c r="H81" s="149"/>
      <c r="I81" s="149"/>
      <c r="J81" s="149"/>
      <c r="K81" s="149"/>
      <c r="L81" s="149"/>
      <c r="M81" s="149"/>
      <c r="N81" s="149"/>
      <c r="O81" s="147"/>
    </row>
    <row r="82" spans="1:16" ht="20.45" customHeight="1" x14ac:dyDescent="0.3">
      <c r="A82" s="9" t="s">
        <v>59</v>
      </c>
      <c r="B82" s="6"/>
      <c r="C82" s="6"/>
      <c r="D82" s="6"/>
      <c r="E82" s="6"/>
      <c r="F82" s="265" t="s">
        <v>31</v>
      </c>
      <c r="G82" s="265"/>
      <c r="H82" s="265"/>
      <c r="I82" s="265"/>
      <c r="J82" s="265"/>
      <c r="K82" s="265"/>
      <c r="L82" s="265"/>
      <c r="M82" s="265"/>
      <c r="N82" s="265"/>
      <c r="O82" s="138"/>
      <c r="P82" s="138"/>
    </row>
    <row r="83" spans="1:16" ht="20.45" customHeight="1" x14ac:dyDescent="0.3">
      <c r="A83" s="6" t="s">
        <v>174</v>
      </c>
      <c r="B83" s="6"/>
      <c r="C83" s="6"/>
      <c r="D83" s="6"/>
      <c r="E83" s="6"/>
      <c r="F83" s="135"/>
      <c r="G83" s="135"/>
      <c r="H83" s="135"/>
      <c r="I83" s="135"/>
      <c r="J83" s="135"/>
      <c r="K83" s="135"/>
      <c r="L83" s="135"/>
      <c r="M83" s="135"/>
      <c r="N83" s="135"/>
      <c r="O83" s="138"/>
      <c r="P83" s="138"/>
    </row>
    <row r="84" spans="1:16" ht="18" customHeight="1" x14ac:dyDescent="0.25">
      <c r="A84" s="184" t="s">
        <v>95</v>
      </c>
      <c r="B84" s="184"/>
      <c r="C84" s="184"/>
      <c r="D84" s="184"/>
      <c r="E84" s="184" t="s">
        <v>82</v>
      </c>
      <c r="F84" s="184"/>
      <c r="G84" s="184"/>
      <c r="H84" s="184"/>
      <c r="I84" s="184"/>
      <c r="J84" s="184"/>
      <c r="K84" s="184"/>
      <c r="L84" s="184"/>
      <c r="M84" s="184"/>
      <c r="N84" s="184"/>
      <c r="O84" s="139"/>
    </row>
    <row r="85" spans="1:16" ht="18" customHeight="1" x14ac:dyDescent="0.25">
      <c r="A85" s="184"/>
      <c r="B85" s="184"/>
      <c r="C85" s="184"/>
      <c r="D85" s="184"/>
      <c r="E85" s="184" t="s">
        <v>94</v>
      </c>
      <c r="F85" s="184"/>
      <c r="G85" s="184"/>
      <c r="H85" s="184"/>
      <c r="I85" s="184"/>
      <c r="J85" s="184" t="s">
        <v>96</v>
      </c>
      <c r="K85" s="184"/>
      <c r="L85" s="184"/>
      <c r="M85" s="184"/>
      <c r="N85" s="184"/>
      <c r="O85" s="139"/>
    </row>
    <row r="86" spans="1:16" ht="18" customHeight="1" x14ac:dyDescent="0.25">
      <c r="A86" s="252" t="s">
        <v>83</v>
      </c>
      <c r="B86" s="252"/>
      <c r="C86" s="252"/>
      <c r="D86" s="252"/>
      <c r="E86" s="253" t="s">
        <v>131</v>
      </c>
      <c r="F86" s="253"/>
      <c r="G86" s="253"/>
      <c r="H86" s="253"/>
      <c r="I86" s="253"/>
      <c r="J86" s="254" t="s">
        <v>83</v>
      </c>
      <c r="K86" s="255"/>
      <c r="L86" s="255"/>
      <c r="M86" s="255"/>
      <c r="N86" s="256"/>
      <c r="O86" s="139"/>
    </row>
    <row r="87" spans="1:16" ht="18" customHeight="1" x14ac:dyDescent="0.25">
      <c r="A87" s="257" t="s">
        <v>151</v>
      </c>
      <c r="B87" s="257"/>
      <c r="C87" s="257"/>
      <c r="D87" s="257"/>
      <c r="E87" s="253"/>
      <c r="F87" s="253"/>
      <c r="G87" s="253"/>
      <c r="H87" s="253"/>
      <c r="I87" s="253"/>
      <c r="J87" s="258" t="s">
        <v>85</v>
      </c>
      <c r="K87" s="259"/>
      <c r="L87" s="259"/>
      <c r="M87" s="259"/>
      <c r="N87" s="260"/>
      <c r="O87" s="139"/>
    </row>
    <row r="88" spans="1:16" ht="18" customHeight="1" x14ac:dyDescent="0.25">
      <c r="A88" s="261" t="s">
        <v>158</v>
      </c>
      <c r="B88" s="261"/>
      <c r="C88" s="261"/>
      <c r="D88" s="261"/>
      <c r="E88" s="253"/>
      <c r="F88" s="253"/>
      <c r="G88" s="253"/>
      <c r="H88" s="253"/>
      <c r="I88" s="253"/>
      <c r="J88" s="262" t="s">
        <v>86</v>
      </c>
      <c r="K88" s="263"/>
      <c r="L88" s="263"/>
      <c r="M88" s="263"/>
      <c r="N88" s="264"/>
      <c r="O88" s="139"/>
    </row>
    <row r="89" spans="1:16" ht="18" customHeight="1" x14ac:dyDescent="0.3">
      <c r="A89" s="249" t="s">
        <v>112</v>
      </c>
      <c r="B89" s="250"/>
      <c r="C89" s="251"/>
      <c r="D89" s="89">
        <v>55</v>
      </c>
      <c r="E89" s="6"/>
      <c r="F89" s="135"/>
      <c r="G89" s="135"/>
      <c r="H89" s="135"/>
      <c r="I89" s="135"/>
      <c r="J89" s="135"/>
      <c r="K89" s="135"/>
      <c r="L89" s="135"/>
      <c r="M89" s="135"/>
      <c r="N89" s="135"/>
      <c r="O89" s="138"/>
      <c r="P89" s="138"/>
    </row>
    <row r="90" spans="1:16" ht="18" customHeight="1" x14ac:dyDescent="0.25">
      <c r="A90" s="233" t="s">
        <v>0</v>
      </c>
      <c r="B90" s="238" t="s">
        <v>19</v>
      </c>
      <c r="C90" s="238" t="s">
        <v>8</v>
      </c>
      <c r="D90" s="238" t="s">
        <v>9</v>
      </c>
      <c r="E90" s="241" t="s">
        <v>11</v>
      </c>
      <c r="F90" s="242"/>
      <c r="G90" s="241" t="s">
        <v>13</v>
      </c>
      <c r="H90" s="242"/>
      <c r="I90" s="233" t="s">
        <v>16</v>
      </c>
      <c r="J90" s="233" t="s">
        <v>32</v>
      </c>
      <c r="K90" s="233" t="s">
        <v>33</v>
      </c>
      <c r="L90" s="233" t="s">
        <v>17</v>
      </c>
      <c r="M90" s="233" t="s">
        <v>34</v>
      </c>
      <c r="N90" s="233" t="s">
        <v>18</v>
      </c>
      <c r="O90" s="140"/>
    </row>
    <row r="91" spans="1:16" ht="18" customHeight="1" x14ac:dyDescent="0.25">
      <c r="A91" s="236"/>
      <c r="B91" s="239"/>
      <c r="C91" s="239"/>
      <c r="D91" s="239"/>
      <c r="E91" s="243"/>
      <c r="F91" s="244"/>
      <c r="G91" s="243"/>
      <c r="H91" s="244"/>
      <c r="I91" s="234"/>
      <c r="J91" s="234"/>
      <c r="K91" s="234"/>
      <c r="L91" s="234"/>
      <c r="M91" s="234"/>
      <c r="N91" s="236"/>
      <c r="O91" s="132"/>
    </row>
    <row r="92" spans="1:16" ht="18" customHeight="1" x14ac:dyDescent="0.25">
      <c r="A92" s="236"/>
      <c r="B92" s="239"/>
      <c r="C92" s="239"/>
      <c r="D92" s="239"/>
      <c r="E92" s="233" t="s">
        <v>10</v>
      </c>
      <c r="F92" s="233" t="s">
        <v>12</v>
      </c>
      <c r="G92" s="233" t="s">
        <v>14</v>
      </c>
      <c r="H92" s="233" t="s">
        <v>15</v>
      </c>
      <c r="I92" s="234"/>
      <c r="J92" s="234"/>
      <c r="K92" s="234"/>
      <c r="L92" s="234"/>
      <c r="M92" s="234"/>
      <c r="N92" s="236"/>
      <c r="O92" s="132"/>
    </row>
    <row r="93" spans="1:16" ht="18" customHeight="1" x14ac:dyDescent="0.25">
      <c r="A93" s="237"/>
      <c r="B93" s="240"/>
      <c r="C93" s="240"/>
      <c r="D93" s="240"/>
      <c r="E93" s="235"/>
      <c r="F93" s="235"/>
      <c r="G93" s="235"/>
      <c r="H93" s="235"/>
      <c r="I93" s="235"/>
      <c r="J93" s="235"/>
      <c r="K93" s="235"/>
      <c r="L93" s="235"/>
      <c r="M93" s="235"/>
      <c r="N93" s="237"/>
      <c r="O93" s="132"/>
    </row>
    <row r="94" spans="1:16" ht="18" customHeight="1" x14ac:dyDescent="0.25">
      <c r="A94" s="246" t="s">
        <v>42</v>
      </c>
      <c r="B94" s="247"/>
      <c r="C94" s="247"/>
      <c r="D94" s="247"/>
      <c r="E94" s="247"/>
      <c r="F94" s="247"/>
      <c r="G94" s="247"/>
      <c r="H94" s="247"/>
      <c r="I94" s="247"/>
      <c r="J94" s="247"/>
      <c r="K94" s="247"/>
      <c r="L94" s="247"/>
      <c r="M94" s="247"/>
      <c r="N94" s="248"/>
      <c r="O94" s="132"/>
    </row>
    <row r="95" spans="1:16" ht="18" customHeight="1" x14ac:dyDescent="0.25">
      <c r="A95" s="7">
        <v>1</v>
      </c>
      <c r="B95" s="8" t="s">
        <v>2</v>
      </c>
      <c r="C95" s="10">
        <f>L95/100*100</f>
        <v>70</v>
      </c>
      <c r="D95" s="11">
        <f>C95/100*60</f>
        <v>42</v>
      </c>
      <c r="E95" s="12">
        <f>C95/100*15</f>
        <v>10.5</v>
      </c>
      <c r="F95" s="12"/>
      <c r="G95" s="12"/>
      <c r="H95" s="12"/>
      <c r="I95" s="12"/>
      <c r="J95" s="12">
        <f>C95/100*387</f>
        <v>270.89999999999998</v>
      </c>
      <c r="K95" s="12">
        <f>C95/100*0.09</f>
        <v>6.3E-2</v>
      </c>
      <c r="L95" s="99">
        <v>70</v>
      </c>
      <c r="M95" s="17">
        <v>20</v>
      </c>
      <c r="N95" s="10">
        <f>L95*M95</f>
        <v>1400</v>
      </c>
      <c r="O95" s="3"/>
    </row>
    <row r="96" spans="1:16" ht="18" customHeight="1" x14ac:dyDescent="0.25">
      <c r="A96" s="7">
        <v>2</v>
      </c>
      <c r="B96" s="8" t="s">
        <v>121</v>
      </c>
      <c r="C96" s="10">
        <f>L96/100*100</f>
        <v>310</v>
      </c>
      <c r="D96" s="57">
        <f>C96/100*899</f>
        <v>2786.9</v>
      </c>
      <c r="E96" s="12"/>
      <c r="F96" s="12"/>
      <c r="G96" s="81">
        <f>C96/100*99.6</f>
        <v>308.76</v>
      </c>
      <c r="H96" s="12"/>
      <c r="I96" s="12"/>
      <c r="J96" s="12"/>
      <c r="K96" s="12"/>
      <c r="L96" s="99">
        <v>310</v>
      </c>
      <c r="M96" s="57">
        <v>68</v>
      </c>
      <c r="N96" s="83">
        <f t="shared" ref="N96:N104" si="4">L96*M96</f>
        <v>21080</v>
      </c>
      <c r="O96" s="141"/>
    </row>
    <row r="97" spans="1:20" ht="18" customHeight="1" x14ac:dyDescent="0.25">
      <c r="A97" s="7">
        <v>3</v>
      </c>
      <c r="B97" s="8" t="s">
        <v>126</v>
      </c>
      <c r="C97" s="10">
        <f>L97/100*100</f>
        <v>120</v>
      </c>
      <c r="D97" s="57">
        <f>C97/100*900</f>
        <v>1080</v>
      </c>
      <c r="E97" s="12"/>
      <c r="F97" s="12"/>
      <c r="G97" s="81"/>
      <c r="H97" s="12">
        <f>C97/100*100</f>
        <v>120</v>
      </c>
      <c r="I97" s="12"/>
      <c r="J97" s="12"/>
      <c r="K97" s="12"/>
      <c r="L97" s="99">
        <v>120</v>
      </c>
      <c r="M97" s="57">
        <v>63.5</v>
      </c>
      <c r="N97" s="83">
        <f t="shared" si="4"/>
        <v>7620</v>
      </c>
      <c r="O97" s="141"/>
    </row>
    <row r="98" spans="1:20" ht="18" customHeight="1" x14ac:dyDescent="0.25">
      <c r="A98" s="7">
        <v>4</v>
      </c>
      <c r="B98" s="4" t="s">
        <v>1</v>
      </c>
      <c r="C98" s="10">
        <f>L98/100*100</f>
        <v>2365</v>
      </c>
      <c r="D98" s="11">
        <f>C98/100*344</f>
        <v>8135.5999999999995</v>
      </c>
      <c r="E98" s="12"/>
      <c r="F98" s="12">
        <f>C98/100*7.9</f>
        <v>186.83500000000001</v>
      </c>
      <c r="G98" s="12"/>
      <c r="H98" s="12">
        <f>C98/100*1</f>
        <v>23.65</v>
      </c>
      <c r="I98" s="12">
        <f>C98/100*73.9</f>
        <v>1747.7350000000001</v>
      </c>
      <c r="J98" s="12">
        <f>C98/100*30</f>
        <v>709.5</v>
      </c>
      <c r="K98" s="12">
        <f>C98/100*0.1</f>
        <v>2.3649999999999998</v>
      </c>
      <c r="L98" s="99">
        <v>2365</v>
      </c>
      <c r="M98" s="17">
        <v>18</v>
      </c>
      <c r="N98" s="10">
        <f t="shared" si="4"/>
        <v>42570</v>
      </c>
      <c r="O98" s="3"/>
    </row>
    <row r="99" spans="1:20" ht="18" customHeight="1" x14ac:dyDescent="0.25">
      <c r="A99" s="7">
        <v>5</v>
      </c>
      <c r="B99" s="4" t="s">
        <v>4</v>
      </c>
      <c r="C99" s="10">
        <f>L99/100*98</f>
        <v>1401.4</v>
      </c>
      <c r="D99" s="11">
        <f>C99/100*118</f>
        <v>1653.652</v>
      </c>
      <c r="E99" s="12">
        <f>C99/100*21</f>
        <v>294.29400000000004</v>
      </c>
      <c r="F99" s="12"/>
      <c r="G99" s="12">
        <f>C99/100*3.8</f>
        <v>53.2532</v>
      </c>
      <c r="H99" s="12"/>
      <c r="I99" s="12"/>
      <c r="J99" s="19">
        <f>C99/100*12</f>
        <v>168.16800000000001</v>
      </c>
      <c r="K99" s="19">
        <f>C99/100*0.1</f>
        <v>1.4014000000000002</v>
      </c>
      <c r="L99" s="99">
        <v>1430</v>
      </c>
      <c r="M99" s="13">
        <v>250</v>
      </c>
      <c r="N99" s="83">
        <f t="shared" si="4"/>
        <v>357500</v>
      </c>
      <c r="O99" s="3"/>
      <c r="Q99" s="2"/>
      <c r="R99" s="2"/>
      <c r="S99" s="3"/>
    </row>
    <row r="100" spans="1:20" ht="18" customHeight="1" x14ac:dyDescent="0.25">
      <c r="A100" s="7">
        <v>6</v>
      </c>
      <c r="B100" s="4" t="s">
        <v>20</v>
      </c>
      <c r="C100" s="10">
        <f>L100/100*95</f>
        <v>266</v>
      </c>
      <c r="D100" s="11">
        <f>C100/100*20</f>
        <v>53.2</v>
      </c>
      <c r="E100" s="12"/>
      <c r="F100" s="12">
        <f>C100/100*0.6</f>
        <v>1.5960000000000001</v>
      </c>
      <c r="G100" s="12"/>
      <c r="H100" s="12">
        <f>C100/100*0.2</f>
        <v>0.53200000000000003</v>
      </c>
      <c r="I100" s="12">
        <f>C100/100*4</f>
        <v>10.64</v>
      </c>
      <c r="J100" s="18">
        <f>C100/100*12</f>
        <v>31.92</v>
      </c>
      <c r="K100" s="18">
        <f>C100/100*0.04</f>
        <v>0.10640000000000001</v>
      </c>
      <c r="L100" s="144">
        <v>280</v>
      </c>
      <c r="M100" s="17">
        <v>40</v>
      </c>
      <c r="N100" s="10">
        <f t="shared" si="4"/>
        <v>11200</v>
      </c>
      <c r="O100" s="3"/>
      <c r="Q100" s="2"/>
      <c r="R100" s="2"/>
    </row>
    <row r="101" spans="1:20" ht="18" customHeight="1" x14ac:dyDescent="0.25">
      <c r="A101" s="7">
        <v>7</v>
      </c>
      <c r="B101" s="8" t="s">
        <v>127</v>
      </c>
      <c r="C101" s="10">
        <f>L101/100*92</f>
        <v>404.8</v>
      </c>
      <c r="D101" s="11">
        <f>C101/100*58</f>
        <v>234.78399999999999</v>
      </c>
      <c r="E101" s="12">
        <f>C101/100*11.7</f>
        <v>47.361599999999996</v>
      </c>
      <c r="F101" s="12"/>
      <c r="G101" s="12">
        <f>C101/100*1.2</f>
        <v>4.8575999999999997</v>
      </c>
      <c r="H101" s="12"/>
      <c r="I101" s="12"/>
      <c r="J101" s="56">
        <f>C101/100*910</f>
        <v>3683.68</v>
      </c>
      <c r="K101" s="19"/>
      <c r="L101" s="99">
        <v>440</v>
      </c>
      <c r="M101" s="91">
        <v>155</v>
      </c>
      <c r="N101" s="10">
        <f t="shared" si="4"/>
        <v>68200</v>
      </c>
      <c r="O101" s="3"/>
    </row>
    <row r="102" spans="1:20" ht="18" customHeight="1" x14ac:dyDescent="0.25">
      <c r="A102" s="7">
        <v>8</v>
      </c>
      <c r="B102" s="4" t="s">
        <v>117</v>
      </c>
      <c r="C102" s="10">
        <f>L102/100*100</f>
        <v>40</v>
      </c>
      <c r="D102" s="11">
        <f>C102/100*247</f>
        <v>98.800000000000011</v>
      </c>
      <c r="E102" s="14"/>
      <c r="F102" s="14">
        <f>C102/100*17.5</f>
        <v>7</v>
      </c>
      <c r="G102" s="14"/>
      <c r="H102" s="14">
        <f>C102/100*1.6</f>
        <v>0.64000000000000012</v>
      </c>
      <c r="I102" s="14">
        <f>C102/100*39.2</f>
        <v>15.680000000000001</v>
      </c>
      <c r="J102" s="18"/>
      <c r="K102" s="18"/>
      <c r="L102" s="144">
        <v>40</v>
      </c>
      <c r="M102" s="17">
        <v>50</v>
      </c>
      <c r="N102" s="10">
        <f t="shared" si="4"/>
        <v>2000</v>
      </c>
      <c r="O102" s="3"/>
      <c r="Q102" s="2"/>
      <c r="R102" s="2"/>
      <c r="S102" s="3"/>
      <c r="T102" s="2"/>
    </row>
    <row r="103" spans="1:20" ht="18" customHeight="1" x14ac:dyDescent="0.25">
      <c r="A103" s="7">
        <v>9</v>
      </c>
      <c r="B103" s="4" t="s">
        <v>159</v>
      </c>
      <c r="C103" s="10">
        <f>L103/100*65</f>
        <v>1001</v>
      </c>
      <c r="D103" s="11">
        <f>C103/100*14</f>
        <v>140.13999999999999</v>
      </c>
      <c r="E103" s="12"/>
      <c r="F103" s="12">
        <f>C103/100*1.6</f>
        <v>16.016000000000002</v>
      </c>
      <c r="G103" s="12"/>
      <c r="H103" s="12"/>
      <c r="I103" s="12">
        <f>C103/100*1.9</f>
        <v>19.018999999999998</v>
      </c>
      <c r="J103" s="12">
        <f>C103/100*63</f>
        <v>630.63</v>
      </c>
      <c r="K103" s="12">
        <f>C103/100*0.01</f>
        <v>0.10009999999999999</v>
      </c>
      <c r="L103" s="99">
        <v>1540</v>
      </c>
      <c r="M103" s="17">
        <v>18</v>
      </c>
      <c r="N103" s="10">
        <f t="shared" si="4"/>
        <v>27720</v>
      </c>
      <c r="O103" s="3"/>
    </row>
    <row r="104" spans="1:20" ht="18" customHeight="1" x14ac:dyDescent="0.25">
      <c r="A104" s="7">
        <v>10</v>
      </c>
      <c r="B104" s="4" t="s">
        <v>135</v>
      </c>
      <c r="C104" s="10">
        <f>L104/100*81</f>
        <v>445.5</v>
      </c>
      <c r="D104" s="11">
        <f>C104/100*17</f>
        <v>75.734999999999999</v>
      </c>
      <c r="E104" s="14"/>
      <c r="F104" s="14">
        <f>C104/100*0.9</f>
        <v>4.0095000000000001</v>
      </c>
      <c r="G104" s="14"/>
      <c r="H104" s="14">
        <f>C104/100*0.2</f>
        <v>0.89100000000000001</v>
      </c>
      <c r="I104" s="14">
        <f>C104/100*2.8</f>
        <v>12.474</v>
      </c>
      <c r="J104" s="12">
        <f>C104/100*28</f>
        <v>124.74000000000001</v>
      </c>
      <c r="K104" s="19">
        <f>C104/100*0.04</f>
        <v>0.1782</v>
      </c>
      <c r="L104" s="144">
        <v>550</v>
      </c>
      <c r="M104" s="17">
        <v>20</v>
      </c>
      <c r="N104" s="10">
        <f t="shared" si="4"/>
        <v>11000</v>
      </c>
      <c r="O104" s="3"/>
      <c r="P104" s="2"/>
    </row>
    <row r="105" spans="1:20" ht="18" customHeight="1" x14ac:dyDescent="0.25">
      <c r="A105" s="7">
        <v>11</v>
      </c>
      <c r="B105" s="8" t="s">
        <v>111</v>
      </c>
      <c r="C105" s="10"/>
      <c r="D105" s="121"/>
      <c r="E105" s="12"/>
      <c r="F105" s="12"/>
      <c r="G105" s="12"/>
      <c r="H105" s="12"/>
      <c r="I105" s="12"/>
      <c r="J105" s="12"/>
      <c r="K105" s="12"/>
      <c r="L105" s="13"/>
      <c r="M105" s="13"/>
      <c r="N105" s="10">
        <v>3950</v>
      </c>
      <c r="O105" s="3"/>
    </row>
    <row r="106" spans="1:20" ht="18" customHeight="1" x14ac:dyDescent="0.25">
      <c r="A106" s="20" t="s">
        <v>104</v>
      </c>
      <c r="B106" s="21"/>
      <c r="C106" s="22"/>
      <c r="D106" s="84">
        <f>SUM(D95:D105)</f>
        <v>14300.811</v>
      </c>
      <c r="E106" s="5"/>
      <c r="F106" s="5"/>
      <c r="G106" s="5"/>
      <c r="H106" s="5"/>
      <c r="I106" s="5"/>
      <c r="J106" s="5"/>
      <c r="K106" s="5"/>
      <c r="L106" s="28"/>
      <c r="M106" s="28"/>
      <c r="N106" s="215">
        <f>SUM(N95:N105)</f>
        <v>554240</v>
      </c>
      <c r="O106" s="3"/>
    </row>
    <row r="107" spans="1:20" ht="18" customHeight="1" x14ac:dyDescent="0.25">
      <c r="A107" s="20" t="s">
        <v>43</v>
      </c>
      <c r="B107" s="21"/>
      <c r="C107" s="29"/>
      <c r="D107" s="30">
        <f>D106/D89</f>
        <v>260.01474545454545</v>
      </c>
      <c r="E107" s="30"/>
      <c r="F107" s="30"/>
      <c r="G107" s="30"/>
      <c r="H107" s="30"/>
      <c r="I107" s="30"/>
      <c r="J107" s="30"/>
      <c r="K107" s="30"/>
      <c r="L107" s="28"/>
      <c r="M107" s="28"/>
      <c r="N107" s="216"/>
      <c r="O107" s="142"/>
    </row>
    <row r="108" spans="1:20" ht="18" customHeight="1" x14ac:dyDescent="0.25">
      <c r="A108" s="217" t="s">
        <v>44</v>
      </c>
      <c r="B108" s="218"/>
      <c r="C108" s="145" t="s">
        <v>132</v>
      </c>
      <c r="D108" s="26" t="s">
        <v>38</v>
      </c>
      <c r="E108" s="30"/>
      <c r="F108" s="30"/>
      <c r="G108" s="30"/>
      <c r="H108" s="30"/>
      <c r="I108" s="30"/>
      <c r="J108" s="31"/>
      <c r="K108" s="31"/>
      <c r="L108" s="28"/>
      <c r="M108" s="28"/>
      <c r="N108" s="137"/>
      <c r="O108" s="3"/>
    </row>
    <row r="109" spans="1:20" ht="18" customHeight="1" x14ac:dyDescent="0.25">
      <c r="A109" s="219"/>
      <c r="B109" s="220"/>
      <c r="C109" s="54" t="s">
        <v>58</v>
      </c>
      <c r="D109" s="26">
        <f>D107*100/930</f>
        <v>27.958574780058651</v>
      </c>
      <c r="E109" s="30"/>
      <c r="F109" s="30"/>
      <c r="G109" s="30"/>
      <c r="H109" s="30"/>
      <c r="I109" s="30"/>
      <c r="J109" s="31"/>
      <c r="K109" s="31"/>
      <c r="L109" s="28"/>
      <c r="M109" s="28"/>
      <c r="N109" s="137"/>
      <c r="O109" s="3"/>
    </row>
    <row r="110" spans="1:20" ht="18" customHeight="1" x14ac:dyDescent="0.3">
      <c r="A110" s="245" t="s">
        <v>45</v>
      </c>
      <c r="B110" s="245"/>
      <c r="C110" s="39"/>
      <c r="D110" s="40"/>
      <c r="E110" s="41"/>
      <c r="F110" s="41"/>
      <c r="G110" s="41"/>
      <c r="H110" s="41"/>
      <c r="I110" s="41"/>
      <c r="J110" s="41"/>
      <c r="K110" s="41"/>
      <c r="L110" s="42"/>
      <c r="M110" s="42"/>
      <c r="N110" s="39"/>
      <c r="O110" s="3"/>
    </row>
    <row r="111" spans="1:20" ht="18" customHeight="1" x14ac:dyDescent="0.25">
      <c r="A111" s="7">
        <v>1</v>
      </c>
      <c r="B111" s="8" t="s">
        <v>2</v>
      </c>
      <c r="C111" s="10">
        <f>L111/100*100</f>
        <v>70</v>
      </c>
      <c r="D111" s="11">
        <f>C111/100*60</f>
        <v>42</v>
      </c>
      <c r="E111" s="12">
        <f>C111/100*15</f>
        <v>10.5</v>
      </c>
      <c r="F111" s="12"/>
      <c r="G111" s="12"/>
      <c r="H111" s="12"/>
      <c r="I111" s="12"/>
      <c r="J111" s="12">
        <f>C111/100*387</f>
        <v>270.89999999999998</v>
      </c>
      <c r="K111" s="12">
        <f>C111/100*0.09</f>
        <v>6.3E-2</v>
      </c>
      <c r="L111" s="99">
        <v>70</v>
      </c>
      <c r="M111" s="17">
        <v>20</v>
      </c>
      <c r="N111" s="10">
        <f>L111*M111</f>
        <v>1400</v>
      </c>
      <c r="O111" s="3"/>
    </row>
    <row r="112" spans="1:20" ht="18" customHeight="1" x14ac:dyDescent="0.25">
      <c r="A112" s="7">
        <v>2</v>
      </c>
      <c r="B112" s="8" t="s">
        <v>121</v>
      </c>
      <c r="C112" s="10">
        <f>L112/100*100</f>
        <v>290</v>
      </c>
      <c r="D112" s="57">
        <f>C112/100*899</f>
        <v>2607.1</v>
      </c>
      <c r="E112" s="12"/>
      <c r="F112" s="12"/>
      <c r="G112" s="81">
        <f>C112/100*99.6</f>
        <v>288.83999999999997</v>
      </c>
      <c r="H112" s="12"/>
      <c r="I112" s="12"/>
      <c r="J112" s="12"/>
      <c r="K112" s="12"/>
      <c r="L112" s="99">
        <v>290</v>
      </c>
      <c r="M112" s="57">
        <v>68</v>
      </c>
      <c r="N112" s="83">
        <f t="shared" ref="N112:N118" si="5">L112*M112</f>
        <v>19720</v>
      </c>
      <c r="O112" s="141"/>
    </row>
    <row r="113" spans="1:20" ht="18" customHeight="1" x14ac:dyDescent="0.25">
      <c r="A113" s="7">
        <v>3</v>
      </c>
      <c r="B113" s="4" t="s">
        <v>1</v>
      </c>
      <c r="C113" s="10">
        <f>L113/100*100</f>
        <v>2310</v>
      </c>
      <c r="D113" s="11">
        <f>C113/100*344</f>
        <v>7946.4000000000005</v>
      </c>
      <c r="E113" s="12"/>
      <c r="F113" s="12">
        <f>C113/100*7.9</f>
        <v>182.49</v>
      </c>
      <c r="G113" s="12"/>
      <c r="H113" s="12">
        <f>C113/100*1</f>
        <v>23.1</v>
      </c>
      <c r="I113" s="12">
        <f>C113/100*73.9</f>
        <v>1707.0900000000001</v>
      </c>
      <c r="J113" s="12">
        <f>C113/100*30</f>
        <v>693</v>
      </c>
      <c r="K113" s="12">
        <f>C113/100*0.1</f>
        <v>2.31</v>
      </c>
      <c r="L113" s="99">
        <v>2310</v>
      </c>
      <c r="M113" s="17">
        <v>18</v>
      </c>
      <c r="N113" s="10">
        <f t="shared" si="5"/>
        <v>41580</v>
      </c>
      <c r="O113" s="3"/>
    </row>
    <row r="114" spans="1:20" ht="18" customHeight="1" x14ac:dyDescent="0.25">
      <c r="A114" s="7">
        <v>4</v>
      </c>
      <c r="B114" s="4" t="s">
        <v>117</v>
      </c>
      <c r="C114" s="10">
        <f>L114/100*100</f>
        <v>40</v>
      </c>
      <c r="D114" s="11">
        <f>C114/100*247</f>
        <v>98.800000000000011</v>
      </c>
      <c r="E114" s="14"/>
      <c r="F114" s="14">
        <f>C114/100*17.5</f>
        <v>7</v>
      </c>
      <c r="G114" s="14"/>
      <c r="H114" s="14">
        <f>C114/100*1.6</f>
        <v>0.64000000000000012</v>
      </c>
      <c r="I114" s="14">
        <f>C114/100*39.2</f>
        <v>15.680000000000001</v>
      </c>
      <c r="J114" s="18"/>
      <c r="K114" s="18"/>
      <c r="L114" s="144">
        <v>40</v>
      </c>
      <c r="M114" s="17">
        <v>50</v>
      </c>
      <c r="N114" s="10">
        <f t="shared" si="5"/>
        <v>2000</v>
      </c>
      <c r="O114" s="3"/>
      <c r="Q114" s="2"/>
      <c r="R114" s="2"/>
      <c r="S114" s="3"/>
      <c r="T114" s="2"/>
    </row>
    <row r="115" spans="1:20" ht="18" customHeight="1" x14ac:dyDescent="0.25">
      <c r="A115" s="7">
        <v>5</v>
      </c>
      <c r="B115" s="4" t="s">
        <v>20</v>
      </c>
      <c r="C115" s="10">
        <f>L115/100*95</f>
        <v>788.50000000000011</v>
      </c>
      <c r="D115" s="11">
        <f>C115/100*20</f>
        <v>157.70000000000005</v>
      </c>
      <c r="E115" s="12"/>
      <c r="F115" s="12">
        <f>C115/100*0.6</f>
        <v>4.7310000000000008</v>
      </c>
      <c r="G115" s="12"/>
      <c r="H115" s="12">
        <f>C115/100*0.2</f>
        <v>1.5770000000000004</v>
      </c>
      <c r="I115" s="12">
        <f>C115/100*4</f>
        <v>31.540000000000006</v>
      </c>
      <c r="J115" s="18">
        <f>C115/100*12</f>
        <v>94.620000000000019</v>
      </c>
      <c r="K115" s="18">
        <f>C115/100*0.04</f>
        <v>0.31540000000000007</v>
      </c>
      <c r="L115" s="144">
        <v>830</v>
      </c>
      <c r="M115" s="17">
        <v>40</v>
      </c>
      <c r="N115" s="10">
        <f t="shared" si="5"/>
        <v>33200</v>
      </c>
      <c r="O115" s="3"/>
      <c r="Q115" s="2"/>
      <c r="R115" s="2"/>
    </row>
    <row r="116" spans="1:20" ht="18" customHeight="1" x14ac:dyDescent="0.25">
      <c r="A116" s="7">
        <v>6</v>
      </c>
      <c r="B116" s="8" t="s">
        <v>66</v>
      </c>
      <c r="C116" s="10">
        <f>L116/100*98</f>
        <v>1617</v>
      </c>
      <c r="D116" s="11">
        <f>C116/100*139</f>
        <v>2247.63</v>
      </c>
      <c r="E116" s="12">
        <f>C116/100*19</f>
        <v>307.23</v>
      </c>
      <c r="F116" s="12"/>
      <c r="G116" s="12">
        <f>C116/100*7</f>
        <v>113.19000000000001</v>
      </c>
      <c r="H116" s="12"/>
      <c r="I116" s="12"/>
      <c r="J116" s="19">
        <f>C116/100*7</f>
        <v>113.19000000000001</v>
      </c>
      <c r="K116" s="19">
        <f>C116/100*0.9</f>
        <v>14.553000000000003</v>
      </c>
      <c r="L116" s="99">
        <v>1650</v>
      </c>
      <c r="M116" s="13">
        <v>130</v>
      </c>
      <c r="N116" s="83">
        <f t="shared" si="5"/>
        <v>214500</v>
      </c>
      <c r="O116" s="3"/>
    </row>
    <row r="117" spans="1:20" ht="18" customHeight="1" x14ac:dyDescent="0.25">
      <c r="A117" s="7">
        <v>7</v>
      </c>
      <c r="B117" s="4" t="s">
        <v>3</v>
      </c>
      <c r="C117" s="10">
        <f>L117/100*48</f>
        <v>355.20000000000005</v>
      </c>
      <c r="D117" s="11">
        <f>C117/100*199</f>
        <v>706.84800000000007</v>
      </c>
      <c r="E117" s="12">
        <f>C117/100*20.3</f>
        <v>72.10560000000001</v>
      </c>
      <c r="F117" s="12"/>
      <c r="G117" s="12">
        <f>C117/100*13.1</f>
        <v>46.531200000000005</v>
      </c>
      <c r="H117" s="12"/>
      <c r="I117" s="12"/>
      <c r="J117" s="19">
        <f>C117/100*12</f>
        <v>42.624000000000009</v>
      </c>
      <c r="K117" s="19">
        <f>C117/100*0.15</f>
        <v>0.53280000000000005</v>
      </c>
      <c r="L117" s="99">
        <v>740</v>
      </c>
      <c r="M117" s="13">
        <v>84</v>
      </c>
      <c r="N117" s="10">
        <f t="shared" si="5"/>
        <v>62160</v>
      </c>
      <c r="O117" s="3"/>
      <c r="Q117" s="2"/>
      <c r="R117" s="2"/>
      <c r="S117" s="3"/>
    </row>
    <row r="118" spans="1:20" ht="18" customHeight="1" x14ac:dyDescent="0.25">
      <c r="A118" s="7">
        <v>8</v>
      </c>
      <c r="B118" s="4" t="s">
        <v>5</v>
      </c>
      <c r="C118" s="10">
        <f>L118/100*98.5</f>
        <v>1241.0999999999999</v>
      </c>
      <c r="D118" s="11">
        <f>C118/100*39</f>
        <v>484.029</v>
      </c>
      <c r="E118" s="14"/>
      <c r="F118" s="14">
        <f>C118/100*1.5</f>
        <v>18.616499999999998</v>
      </c>
      <c r="G118" s="14"/>
      <c r="H118" s="14">
        <f>C118/100*0.2</f>
        <v>2.4822000000000002</v>
      </c>
      <c r="I118" s="14">
        <f>C118/100*7.8</f>
        <v>96.805799999999991</v>
      </c>
      <c r="J118" s="14">
        <f>C118/100*43</f>
        <v>533.673</v>
      </c>
      <c r="K118" s="14">
        <f>C118/100*0.06</f>
        <v>0.74465999999999999</v>
      </c>
      <c r="L118" s="144">
        <v>1260</v>
      </c>
      <c r="M118" s="13">
        <v>17</v>
      </c>
      <c r="N118" s="10">
        <f t="shared" si="5"/>
        <v>21420</v>
      </c>
      <c r="O118" s="3"/>
      <c r="Q118" s="2"/>
      <c r="R118" s="2"/>
      <c r="S118" s="3"/>
    </row>
    <row r="119" spans="1:20" ht="18" customHeight="1" x14ac:dyDescent="0.25">
      <c r="A119" s="7">
        <v>9</v>
      </c>
      <c r="B119" s="4" t="s">
        <v>61</v>
      </c>
      <c r="C119" s="10">
        <f>L119/100*100</f>
        <v>60</v>
      </c>
      <c r="D119" s="11">
        <f>C119/100*334</f>
        <v>200.4</v>
      </c>
      <c r="E119" s="12"/>
      <c r="F119" s="12">
        <f>C119/100*20</f>
        <v>12</v>
      </c>
      <c r="G119" s="12"/>
      <c r="H119" s="12">
        <f>C119/100*2.4</f>
        <v>1.44</v>
      </c>
      <c r="I119" s="12">
        <f>C119/100*58</f>
        <v>34.799999999999997</v>
      </c>
      <c r="J119" s="19">
        <f>C119/100*89</f>
        <v>53.4</v>
      </c>
      <c r="K119" s="19">
        <f>C119/100*0.64</f>
        <v>0.38400000000000001</v>
      </c>
      <c r="L119" s="99">
        <v>60</v>
      </c>
      <c r="M119" s="91">
        <v>190</v>
      </c>
      <c r="N119" s="10">
        <f>L119*M119</f>
        <v>11400</v>
      </c>
      <c r="O119" s="3"/>
    </row>
    <row r="120" spans="1:20" ht="18" customHeight="1" x14ac:dyDescent="0.25">
      <c r="A120" s="7">
        <v>10</v>
      </c>
      <c r="B120" s="8" t="s">
        <v>111</v>
      </c>
      <c r="C120" s="10"/>
      <c r="D120" s="11"/>
      <c r="E120" s="92"/>
      <c r="F120" s="92"/>
      <c r="G120" s="92"/>
      <c r="H120" s="12"/>
      <c r="I120" s="12"/>
      <c r="J120" s="12"/>
      <c r="K120" s="12"/>
      <c r="L120" s="13"/>
      <c r="M120" s="13"/>
      <c r="N120" s="10">
        <v>3950</v>
      </c>
      <c r="O120" s="3"/>
      <c r="T120" s="128"/>
    </row>
    <row r="121" spans="1:20" ht="18" customHeight="1" x14ac:dyDescent="0.25">
      <c r="A121" s="20" t="s">
        <v>105</v>
      </c>
      <c r="B121" s="21"/>
      <c r="C121" s="22"/>
      <c r="D121" s="84">
        <f>SUM(D111:D120)</f>
        <v>14490.907000000001</v>
      </c>
      <c r="E121" s="5"/>
      <c r="F121" s="5"/>
      <c r="G121" s="5"/>
      <c r="H121" s="5"/>
      <c r="I121" s="5"/>
      <c r="J121" s="5"/>
      <c r="K121" s="5"/>
      <c r="L121" s="28"/>
      <c r="M121" s="28"/>
      <c r="N121" s="215">
        <f>SUM(N111:N120)</f>
        <v>411330</v>
      </c>
      <c r="O121" s="3"/>
    </row>
    <row r="122" spans="1:20" ht="18" customHeight="1" x14ac:dyDescent="0.25">
      <c r="A122" s="20" t="s">
        <v>46</v>
      </c>
      <c r="B122" s="21"/>
      <c r="C122" s="45"/>
      <c r="D122" s="31">
        <f>D121/D89</f>
        <v>263.47103636363636</v>
      </c>
      <c r="E122" s="31"/>
      <c r="F122" s="31"/>
      <c r="G122" s="31"/>
      <c r="H122" s="31"/>
      <c r="I122" s="31"/>
      <c r="J122" s="31"/>
      <c r="K122" s="31"/>
      <c r="L122" s="46"/>
      <c r="M122" s="28"/>
      <c r="N122" s="216"/>
      <c r="O122" s="3"/>
    </row>
    <row r="123" spans="1:20" ht="18" customHeight="1" x14ac:dyDescent="0.25">
      <c r="A123" s="217" t="s">
        <v>47</v>
      </c>
      <c r="B123" s="218"/>
      <c r="C123" s="145" t="s">
        <v>132</v>
      </c>
      <c r="D123" s="26" t="s">
        <v>48</v>
      </c>
      <c r="E123" s="30"/>
      <c r="F123" s="30"/>
      <c r="G123" s="30"/>
      <c r="H123" s="30"/>
      <c r="I123" s="30"/>
      <c r="J123" s="31"/>
      <c r="K123" s="31"/>
      <c r="L123" s="28"/>
      <c r="M123" s="28"/>
      <c r="N123" s="137"/>
      <c r="O123" s="3"/>
    </row>
    <row r="124" spans="1:20" ht="18" customHeight="1" x14ac:dyDescent="0.25">
      <c r="A124" s="219"/>
      <c r="B124" s="220"/>
      <c r="C124" s="54" t="s">
        <v>58</v>
      </c>
      <c r="D124" s="44">
        <f>D122*100/930</f>
        <v>28.330218963831868</v>
      </c>
      <c r="E124" s="30"/>
      <c r="F124" s="30"/>
      <c r="G124" s="30"/>
      <c r="H124" s="30"/>
      <c r="I124" s="30"/>
      <c r="J124" s="31"/>
      <c r="K124" s="31"/>
      <c r="L124" s="28"/>
      <c r="M124" s="28"/>
      <c r="N124" s="137"/>
      <c r="O124" s="3"/>
    </row>
    <row r="125" spans="1:20" ht="18" customHeight="1" x14ac:dyDescent="0.3">
      <c r="A125" s="245" t="s">
        <v>39</v>
      </c>
      <c r="B125" s="245"/>
      <c r="C125" s="47"/>
      <c r="D125" s="48"/>
      <c r="E125" s="48"/>
      <c r="F125" s="48"/>
      <c r="G125" s="48"/>
      <c r="H125" s="48"/>
      <c r="I125" s="48"/>
      <c r="J125" s="48"/>
      <c r="K125" s="48"/>
      <c r="L125" s="49"/>
      <c r="M125" s="49"/>
      <c r="N125" s="50"/>
      <c r="O125" s="3"/>
    </row>
    <row r="126" spans="1:20" ht="18" customHeight="1" x14ac:dyDescent="0.25">
      <c r="A126" s="107">
        <v>1</v>
      </c>
      <c r="B126" s="126" t="s">
        <v>130</v>
      </c>
      <c r="C126" s="22">
        <f>L126/100*100</f>
        <v>940</v>
      </c>
      <c r="D126" s="108">
        <f>C126/100*487</f>
        <v>4577.8</v>
      </c>
      <c r="E126" s="24"/>
      <c r="F126" s="24">
        <f>C126/100*19.5</f>
        <v>183.3</v>
      </c>
      <c r="G126" s="24"/>
      <c r="H126" s="24">
        <f>C126/100*23.2</f>
        <v>218.08</v>
      </c>
      <c r="I126" s="24">
        <f>C126/100*46</f>
        <v>432.40000000000003</v>
      </c>
      <c r="J126" s="109">
        <f>C126/100*680</f>
        <v>6392</v>
      </c>
      <c r="K126" s="24">
        <f>C126/100*0.55</f>
        <v>5.1700000000000008</v>
      </c>
      <c r="L126" s="25">
        <v>940</v>
      </c>
      <c r="M126" s="127">
        <v>260</v>
      </c>
      <c r="N126" s="129">
        <f t="shared" ref="N126" si="6">L126*M126</f>
        <v>244400</v>
      </c>
      <c r="O126" s="3"/>
      <c r="P126" s="2"/>
    </row>
    <row r="127" spans="1:20" ht="20.45" customHeight="1" x14ac:dyDescent="0.25">
      <c r="A127" s="233" t="s">
        <v>0</v>
      </c>
      <c r="B127" s="238" t="s">
        <v>19</v>
      </c>
      <c r="C127" s="238" t="s">
        <v>8</v>
      </c>
      <c r="D127" s="238" t="s">
        <v>9</v>
      </c>
      <c r="E127" s="241" t="s">
        <v>11</v>
      </c>
      <c r="F127" s="242"/>
      <c r="G127" s="241" t="s">
        <v>13</v>
      </c>
      <c r="H127" s="242"/>
      <c r="I127" s="233" t="s">
        <v>16</v>
      </c>
      <c r="J127" s="233" t="s">
        <v>32</v>
      </c>
      <c r="K127" s="233" t="s">
        <v>33</v>
      </c>
      <c r="L127" s="233" t="s">
        <v>17</v>
      </c>
      <c r="M127" s="233" t="s">
        <v>34</v>
      </c>
      <c r="N127" s="233" t="s">
        <v>18</v>
      </c>
      <c r="O127" s="140"/>
    </row>
    <row r="128" spans="1:20" ht="20.45" customHeight="1" x14ac:dyDescent="0.25">
      <c r="A128" s="236"/>
      <c r="B128" s="239"/>
      <c r="C128" s="239"/>
      <c r="D128" s="239"/>
      <c r="E128" s="243"/>
      <c r="F128" s="244"/>
      <c r="G128" s="243"/>
      <c r="H128" s="244"/>
      <c r="I128" s="234"/>
      <c r="J128" s="234"/>
      <c r="K128" s="234"/>
      <c r="L128" s="234"/>
      <c r="M128" s="234"/>
      <c r="N128" s="236"/>
      <c r="O128" s="132"/>
    </row>
    <row r="129" spans="1:22" ht="20.45" customHeight="1" x14ac:dyDescent="0.25">
      <c r="A129" s="236"/>
      <c r="B129" s="239"/>
      <c r="C129" s="239"/>
      <c r="D129" s="239"/>
      <c r="E129" s="233" t="s">
        <v>10</v>
      </c>
      <c r="F129" s="233" t="s">
        <v>12</v>
      </c>
      <c r="G129" s="233" t="s">
        <v>14</v>
      </c>
      <c r="H129" s="233" t="s">
        <v>15</v>
      </c>
      <c r="I129" s="234"/>
      <c r="J129" s="234"/>
      <c r="K129" s="234"/>
      <c r="L129" s="234"/>
      <c r="M129" s="234"/>
      <c r="N129" s="236"/>
      <c r="O129" s="132"/>
    </row>
    <row r="130" spans="1:22" ht="20.45" customHeight="1" x14ac:dyDescent="0.25">
      <c r="A130" s="237"/>
      <c r="B130" s="240"/>
      <c r="C130" s="240"/>
      <c r="D130" s="240"/>
      <c r="E130" s="235"/>
      <c r="F130" s="235"/>
      <c r="G130" s="235"/>
      <c r="H130" s="235"/>
      <c r="I130" s="235"/>
      <c r="J130" s="235"/>
      <c r="K130" s="235"/>
      <c r="L130" s="235"/>
      <c r="M130" s="235"/>
      <c r="N130" s="237"/>
      <c r="O130" s="132"/>
    </row>
    <row r="131" spans="1:22" ht="20.45" customHeight="1" x14ac:dyDescent="0.25">
      <c r="A131" s="214" t="s">
        <v>98</v>
      </c>
      <c r="B131" s="214"/>
      <c r="C131" s="22"/>
      <c r="D131" s="23">
        <f>SUM(D125:D126)</f>
        <v>4577.8</v>
      </c>
      <c r="E131" s="5"/>
      <c r="F131" s="5"/>
      <c r="G131" s="5"/>
      <c r="H131" s="5"/>
      <c r="I131" s="5"/>
      <c r="J131" s="5"/>
      <c r="K131" s="5"/>
      <c r="L131" s="28"/>
      <c r="M131" s="46"/>
      <c r="N131" s="215">
        <f>SUM(N125:N126)</f>
        <v>244400</v>
      </c>
      <c r="O131" s="3"/>
    </row>
    <row r="132" spans="1:22" ht="20.45" customHeight="1" x14ac:dyDescent="0.25">
      <c r="A132" s="214" t="s">
        <v>7</v>
      </c>
      <c r="B132" s="214"/>
      <c r="C132" s="29"/>
      <c r="D132" s="30">
        <f>D131/D89</f>
        <v>83.232727272727274</v>
      </c>
      <c r="E132" s="30"/>
      <c r="F132" s="30"/>
      <c r="G132" s="30"/>
      <c r="H132" s="30"/>
      <c r="I132" s="30"/>
      <c r="J132" s="30"/>
      <c r="K132" s="30"/>
      <c r="L132" s="28"/>
      <c r="M132" s="15"/>
      <c r="N132" s="216"/>
      <c r="O132" s="3"/>
    </row>
    <row r="133" spans="1:22" ht="20.45" customHeight="1" x14ac:dyDescent="0.25">
      <c r="A133" s="217" t="s">
        <v>40</v>
      </c>
      <c r="B133" s="218"/>
      <c r="C133" s="145" t="s">
        <v>132</v>
      </c>
      <c r="D133" s="26" t="s">
        <v>49</v>
      </c>
      <c r="E133" s="30"/>
      <c r="F133" s="30"/>
      <c r="G133" s="30"/>
      <c r="H133" s="30"/>
      <c r="I133" s="30"/>
      <c r="J133" s="31"/>
      <c r="K133" s="31"/>
      <c r="L133" s="28"/>
      <c r="M133" s="28"/>
      <c r="N133" s="137"/>
      <c r="O133" s="3"/>
    </row>
    <row r="134" spans="1:22" ht="20.45" customHeight="1" x14ac:dyDescent="0.25">
      <c r="A134" s="219"/>
      <c r="B134" s="220"/>
      <c r="C134" s="54" t="s">
        <v>58</v>
      </c>
      <c r="D134" s="26">
        <f>D132*100/930</f>
        <v>8.9497556207233639</v>
      </c>
      <c r="E134" s="30"/>
      <c r="F134" s="30"/>
      <c r="G134" s="30"/>
      <c r="H134" s="30"/>
      <c r="I134" s="30"/>
      <c r="J134" s="31"/>
      <c r="K134" s="31"/>
      <c r="L134" s="28"/>
      <c r="M134" s="28"/>
      <c r="N134" s="137"/>
      <c r="O134" s="3"/>
    </row>
    <row r="135" spans="1:22" ht="20.45" customHeight="1" x14ac:dyDescent="0.25">
      <c r="A135" s="221" t="s">
        <v>99</v>
      </c>
      <c r="B135" s="222"/>
      <c r="C135" s="225"/>
      <c r="D135" s="227">
        <f>D106+D121+D131</f>
        <v>33369.518000000004</v>
      </c>
      <c r="E135" s="5">
        <f>SUM(E95:E133)</f>
        <v>741.99120000000005</v>
      </c>
      <c r="F135" s="5">
        <f t="shared" ref="F135:H135" si="7">SUM(F95:F133)</f>
        <v>623.59400000000005</v>
      </c>
      <c r="G135" s="5">
        <f t="shared" si="7"/>
        <v>815.43200000000002</v>
      </c>
      <c r="H135" s="5">
        <f t="shared" si="7"/>
        <v>393.03219999999999</v>
      </c>
      <c r="I135" s="229">
        <f>SUM(I95:I133)</f>
        <v>4123.8638000000001</v>
      </c>
      <c r="J135" s="231">
        <f>SUM(J95:J126)</f>
        <v>13812.944999999998</v>
      </c>
      <c r="K135" s="229">
        <f>SUM(K95:K126)</f>
        <v>28.286960000000004</v>
      </c>
      <c r="L135" s="193"/>
      <c r="M135" s="193"/>
      <c r="N135" s="194">
        <f>N106+N121+N131</f>
        <v>1209970</v>
      </c>
    </row>
    <row r="136" spans="1:22" ht="20.45" customHeight="1" x14ac:dyDescent="0.25">
      <c r="A136" s="223"/>
      <c r="B136" s="224"/>
      <c r="C136" s="226"/>
      <c r="D136" s="228"/>
      <c r="E136" s="195">
        <f>E135+F135</f>
        <v>1365.5852</v>
      </c>
      <c r="F136" s="196"/>
      <c r="G136" s="195">
        <f>G135+H135</f>
        <v>1208.4641999999999</v>
      </c>
      <c r="H136" s="196"/>
      <c r="I136" s="230"/>
      <c r="J136" s="232"/>
      <c r="K136" s="230"/>
      <c r="L136" s="193"/>
      <c r="M136" s="193"/>
      <c r="N136" s="194"/>
    </row>
    <row r="137" spans="1:22" ht="20.45" customHeight="1" x14ac:dyDescent="0.25">
      <c r="A137" s="200" t="s">
        <v>75</v>
      </c>
      <c r="B137" s="201"/>
      <c r="C137" s="202"/>
      <c r="D137" s="90">
        <f>D135/D89</f>
        <v>606.71850909090915</v>
      </c>
      <c r="E137" s="96">
        <f>E135/D89</f>
        <v>13.490749090909091</v>
      </c>
      <c r="F137" s="95">
        <f>F135/D89</f>
        <v>11.338072727272728</v>
      </c>
      <c r="G137" s="96">
        <f>G135/D89</f>
        <v>14.826036363636364</v>
      </c>
      <c r="H137" s="95">
        <f>H135/D89</f>
        <v>7.1460400000000002</v>
      </c>
      <c r="I137" s="206">
        <f>I135/D89</f>
        <v>74.979341818181823</v>
      </c>
      <c r="J137" s="208">
        <f>J135/D89</f>
        <v>251.14445454545449</v>
      </c>
      <c r="K137" s="210">
        <f>K135/D89</f>
        <v>0.51430836363636367</v>
      </c>
      <c r="L137" s="193"/>
      <c r="M137" s="193"/>
      <c r="N137" s="194"/>
      <c r="P137" s="106"/>
      <c r="Q137" s="188"/>
      <c r="R137" s="188"/>
      <c r="S137" s="188"/>
      <c r="T137" s="188"/>
      <c r="U137" s="189"/>
      <c r="V137" s="189"/>
    </row>
    <row r="138" spans="1:22" ht="20.45" customHeight="1" x14ac:dyDescent="0.25">
      <c r="A138" s="203"/>
      <c r="B138" s="204"/>
      <c r="C138" s="205"/>
      <c r="D138" s="88"/>
      <c r="E138" s="190">
        <f>E137+F137</f>
        <v>24.828821818181819</v>
      </c>
      <c r="F138" s="191"/>
      <c r="G138" s="190">
        <f>G137+H137</f>
        <v>21.972076363636365</v>
      </c>
      <c r="H138" s="191"/>
      <c r="I138" s="207"/>
      <c r="J138" s="209"/>
      <c r="K138" s="207"/>
      <c r="L138" s="193"/>
      <c r="M138" s="193"/>
      <c r="N138" s="194"/>
      <c r="P138" s="154"/>
      <c r="Q138" s="188"/>
      <c r="R138" s="188"/>
      <c r="S138" s="192"/>
      <c r="T138" s="192"/>
      <c r="U138" s="188"/>
      <c r="V138" s="188"/>
    </row>
    <row r="139" spans="1:22" ht="20.45" customHeight="1" x14ac:dyDescent="0.25">
      <c r="A139" s="211" t="s">
        <v>76</v>
      </c>
      <c r="B139" s="212"/>
      <c r="C139" s="213"/>
      <c r="D139" s="136" t="s">
        <v>28</v>
      </c>
      <c r="E139" s="184" t="s">
        <v>24</v>
      </c>
      <c r="F139" s="184"/>
      <c r="G139" s="184" t="s">
        <v>25</v>
      </c>
      <c r="H139" s="184"/>
      <c r="I139" s="136" t="s">
        <v>26</v>
      </c>
      <c r="J139" s="133">
        <v>500</v>
      </c>
      <c r="K139" s="133">
        <v>0.59</v>
      </c>
      <c r="L139" s="193"/>
      <c r="M139" s="193"/>
      <c r="N139" s="194"/>
      <c r="O139" s="147"/>
      <c r="P139" s="106"/>
      <c r="Q139" s="106"/>
      <c r="R139" s="106"/>
      <c r="S139" s="106"/>
      <c r="T139" s="106"/>
      <c r="U139" s="106"/>
      <c r="V139" s="106"/>
    </row>
    <row r="140" spans="1:22" ht="20.45" customHeight="1" x14ac:dyDescent="0.25">
      <c r="A140" s="180" t="s">
        <v>69</v>
      </c>
      <c r="B140" s="185"/>
      <c r="C140" s="181"/>
      <c r="D140" s="16"/>
      <c r="E140" s="186">
        <f>E138*4.1</f>
        <v>101.79816945454544</v>
      </c>
      <c r="F140" s="187"/>
      <c r="G140" s="186">
        <f>G138*9</f>
        <v>197.7486872727273</v>
      </c>
      <c r="H140" s="187"/>
      <c r="I140" s="60">
        <f>I137*4.1</f>
        <v>307.41530145454544</v>
      </c>
      <c r="J140" s="197"/>
      <c r="K140" s="197"/>
      <c r="L140" s="193"/>
      <c r="M140" s="193"/>
      <c r="N140" s="194"/>
      <c r="O140" s="147"/>
      <c r="P140" s="151"/>
      <c r="Q140" s="152"/>
      <c r="R140" s="152"/>
      <c r="S140" s="152"/>
      <c r="T140" s="106"/>
      <c r="U140" s="106"/>
      <c r="V140" s="106"/>
    </row>
    <row r="141" spans="1:22" ht="20.45" customHeight="1" x14ac:dyDescent="0.25">
      <c r="A141" s="176" t="s">
        <v>77</v>
      </c>
      <c r="B141" s="177"/>
      <c r="C141" s="180" t="s">
        <v>58</v>
      </c>
      <c r="D141" s="181"/>
      <c r="E141" s="182">
        <f>E140*100/D137</f>
        <v>16.778484244213534</v>
      </c>
      <c r="F141" s="183"/>
      <c r="G141" s="182">
        <f>G140*100/D137</f>
        <v>32.593152229528755</v>
      </c>
      <c r="H141" s="183"/>
      <c r="I141" s="75">
        <v>50.6</v>
      </c>
      <c r="J141" s="198"/>
      <c r="K141" s="198"/>
      <c r="L141" s="193"/>
      <c r="M141" s="193"/>
      <c r="N141" s="194"/>
      <c r="O141" s="147"/>
      <c r="P141" s="106"/>
      <c r="Q141" s="153"/>
      <c r="R141" s="106"/>
      <c r="S141" s="106"/>
      <c r="T141" s="106"/>
      <c r="U141" s="106"/>
      <c r="V141" s="106"/>
    </row>
    <row r="142" spans="1:22" ht="20.45" customHeight="1" x14ac:dyDescent="0.25">
      <c r="A142" s="178"/>
      <c r="B142" s="179"/>
      <c r="C142" s="180" t="s">
        <v>71</v>
      </c>
      <c r="D142" s="181"/>
      <c r="E142" s="180" t="s">
        <v>72</v>
      </c>
      <c r="F142" s="181"/>
      <c r="G142" s="180" t="s">
        <v>78</v>
      </c>
      <c r="H142" s="181"/>
      <c r="I142" s="136" t="s">
        <v>79</v>
      </c>
      <c r="J142" s="199"/>
      <c r="K142" s="199"/>
      <c r="L142" s="193"/>
      <c r="M142" s="193"/>
      <c r="N142" s="194"/>
      <c r="O142" s="147"/>
      <c r="P142" s="2"/>
    </row>
    <row r="143" spans="1:22" ht="20.45" customHeight="1" x14ac:dyDescent="0.25">
      <c r="A143" s="63"/>
      <c r="B143" s="64"/>
      <c r="C143" s="63"/>
      <c r="D143" s="63"/>
      <c r="E143" s="63"/>
      <c r="F143" s="63"/>
      <c r="G143" s="63"/>
      <c r="H143" s="63"/>
      <c r="I143" s="63"/>
      <c r="J143" s="63"/>
      <c r="K143" s="63"/>
      <c r="L143" s="65"/>
      <c r="M143" s="65"/>
      <c r="N143" s="66"/>
      <c r="O143" s="147"/>
      <c r="P143" s="2"/>
    </row>
    <row r="144" spans="1:22" ht="20.45" customHeight="1" x14ac:dyDescent="0.25">
      <c r="A144" s="172" t="s">
        <v>100</v>
      </c>
      <c r="B144" s="172"/>
      <c r="C144" s="172"/>
      <c r="D144" s="172"/>
      <c r="E144" s="172"/>
      <c r="F144" s="172"/>
      <c r="G144" s="172"/>
      <c r="H144" s="172"/>
      <c r="I144" s="172"/>
      <c r="J144" s="172"/>
      <c r="K144" s="172"/>
      <c r="L144" s="172"/>
      <c r="M144" s="172"/>
      <c r="N144" s="172"/>
      <c r="O144" s="147"/>
    </row>
    <row r="145" spans="1:15" ht="20.45" customHeight="1" x14ac:dyDescent="0.25">
      <c r="A145" s="77" t="s">
        <v>101</v>
      </c>
      <c r="B145" s="173" t="s">
        <v>102</v>
      </c>
      <c r="C145" s="173"/>
      <c r="D145" s="173"/>
      <c r="E145" s="173"/>
      <c r="F145" s="173"/>
      <c r="G145" s="173"/>
      <c r="H145" s="173"/>
      <c r="I145" s="173"/>
      <c r="J145" s="173"/>
      <c r="K145" s="173"/>
      <c r="L145" s="173"/>
      <c r="M145" s="173"/>
      <c r="N145" s="173"/>
      <c r="O145" s="147"/>
    </row>
    <row r="146" spans="1:15" ht="20.45" customHeight="1" x14ac:dyDescent="0.25">
      <c r="A146" s="78"/>
      <c r="B146" s="174" t="s">
        <v>177</v>
      </c>
      <c r="C146" s="174"/>
      <c r="D146" s="174"/>
      <c r="E146" s="174"/>
      <c r="F146" s="174"/>
      <c r="G146" s="174"/>
      <c r="H146" s="174"/>
      <c r="I146" s="174"/>
      <c r="J146" s="174"/>
      <c r="K146" s="174"/>
      <c r="L146" s="174"/>
      <c r="M146" s="174"/>
      <c r="N146" s="174"/>
      <c r="O146" s="147"/>
    </row>
    <row r="147" spans="1:15" ht="20.45" customHeight="1" x14ac:dyDescent="0.25">
      <c r="A147" s="78"/>
      <c r="B147" s="174" t="s">
        <v>178</v>
      </c>
      <c r="C147" s="174"/>
      <c r="D147" s="174"/>
      <c r="E147" s="174"/>
      <c r="F147" s="174"/>
      <c r="G147" s="174"/>
      <c r="H147" s="174"/>
      <c r="I147" s="174"/>
      <c r="J147" s="174"/>
      <c r="K147" s="174"/>
      <c r="L147" s="174"/>
      <c r="M147" s="174"/>
      <c r="N147" s="174"/>
      <c r="O147" s="147"/>
    </row>
    <row r="148" spans="1:15" ht="20.45" customHeight="1" x14ac:dyDescent="0.25">
      <c r="A148" s="78"/>
      <c r="B148" s="174" t="s">
        <v>179</v>
      </c>
      <c r="C148" s="174"/>
      <c r="D148" s="174"/>
      <c r="E148" s="174"/>
      <c r="F148" s="174"/>
      <c r="G148" s="174"/>
      <c r="H148" s="174"/>
      <c r="I148" s="174"/>
      <c r="J148" s="174"/>
      <c r="K148" s="174"/>
      <c r="L148" s="174"/>
      <c r="M148" s="174"/>
      <c r="N148" s="174"/>
      <c r="O148" s="147"/>
    </row>
    <row r="149" spans="1:15" ht="20.45" customHeight="1" x14ac:dyDescent="0.25">
      <c r="A149" s="63"/>
      <c r="B149" s="175" t="s">
        <v>107</v>
      </c>
      <c r="C149" s="175"/>
      <c r="D149" s="175"/>
      <c r="E149" s="175"/>
      <c r="F149" s="175"/>
      <c r="G149" s="175"/>
      <c r="H149" s="175"/>
      <c r="I149" s="175"/>
      <c r="J149" s="175"/>
      <c r="K149" s="175"/>
      <c r="L149" s="175"/>
      <c r="M149" s="175"/>
      <c r="N149" s="175"/>
      <c r="O149" s="147"/>
    </row>
    <row r="150" spans="1:15" ht="20.45" customHeight="1" x14ac:dyDescent="0.25">
      <c r="A150" s="63"/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79"/>
      <c r="M150" s="79"/>
      <c r="N150" s="80"/>
      <c r="O150" s="147"/>
    </row>
    <row r="151" spans="1:15" ht="20.45" customHeight="1" x14ac:dyDescent="0.25">
      <c r="A151" s="168" t="s">
        <v>60</v>
      </c>
      <c r="B151" s="168"/>
      <c r="C151" s="168"/>
      <c r="D151" s="168"/>
      <c r="E151" s="148"/>
      <c r="F151" s="148"/>
      <c r="G151" s="148"/>
      <c r="H151" s="148"/>
      <c r="I151" s="148"/>
      <c r="J151" s="169" t="s">
        <v>36</v>
      </c>
      <c r="K151" s="169"/>
      <c r="L151" s="169"/>
      <c r="M151" s="169"/>
      <c r="N151" s="169"/>
      <c r="O151" s="147"/>
    </row>
    <row r="152" spans="1:15" ht="20.45" customHeight="1" x14ac:dyDescent="0.25">
      <c r="A152" s="132"/>
      <c r="B152" s="132"/>
      <c r="C152" s="132"/>
      <c r="D152" s="148"/>
      <c r="E152" s="148"/>
      <c r="F152" s="148"/>
      <c r="G152" s="148"/>
      <c r="H152" s="149"/>
      <c r="I152" s="149"/>
      <c r="J152" s="149"/>
      <c r="K152" s="149"/>
      <c r="L152" s="149"/>
      <c r="M152" s="149"/>
      <c r="N152" s="149"/>
      <c r="O152" s="147"/>
    </row>
    <row r="153" spans="1:15" ht="20.45" customHeight="1" x14ac:dyDescent="0.25">
      <c r="A153" s="132"/>
      <c r="B153" s="132"/>
      <c r="C153" s="132"/>
      <c r="D153" s="148"/>
      <c r="E153" s="148"/>
      <c r="F153" s="148"/>
      <c r="G153" s="148"/>
      <c r="H153" s="149"/>
      <c r="I153" s="149"/>
      <c r="J153" s="149"/>
      <c r="K153" s="149"/>
      <c r="L153" s="149"/>
      <c r="M153" s="149"/>
      <c r="N153" s="149"/>
      <c r="O153" s="147"/>
    </row>
    <row r="154" spans="1:15" ht="20.45" customHeight="1" x14ac:dyDescent="0.25">
      <c r="A154" s="132"/>
      <c r="B154" s="132"/>
      <c r="C154" s="132"/>
      <c r="D154" s="148"/>
      <c r="E154" s="148"/>
      <c r="F154" s="148"/>
      <c r="G154" s="148"/>
      <c r="H154" s="149"/>
      <c r="I154" s="149"/>
      <c r="J154" s="170" t="s">
        <v>103</v>
      </c>
      <c r="K154" s="170"/>
      <c r="L154" s="170"/>
      <c r="M154" s="170"/>
      <c r="N154" s="170"/>
      <c r="O154" s="147"/>
    </row>
    <row r="155" spans="1:15" ht="20.45" customHeight="1" x14ac:dyDescent="0.25">
      <c r="A155" s="171" t="s">
        <v>84</v>
      </c>
      <c r="B155" s="171"/>
      <c r="C155" s="171"/>
      <c r="D155" s="171"/>
      <c r="E155" s="148"/>
      <c r="F155" s="148"/>
      <c r="G155" s="148"/>
      <c r="H155" s="149"/>
      <c r="I155" s="149"/>
      <c r="O155" s="147"/>
    </row>
    <row r="156" spans="1:15" ht="20.45" customHeight="1" x14ac:dyDescent="0.25">
      <c r="J156" s="149"/>
      <c r="K156" s="149"/>
      <c r="L156" s="149"/>
      <c r="M156" s="149"/>
      <c r="N156" s="149"/>
    </row>
    <row r="157" spans="1:15" ht="20.45" customHeight="1" x14ac:dyDescent="0.25">
      <c r="J157" s="170" t="s">
        <v>114</v>
      </c>
      <c r="K157" s="170"/>
      <c r="L157" s="170"/>
      <c r="M157" s="170"/>
      <c r="N157" s="170"/>
    </row>
  </sheetData>
  <mergeCells count="204">
    <mergeCell ref="A8:C8"/>
    <mergeCell ref="A9:A12"/>
    <mergeCell ref="B9:B12"/>
    <mergeCell ref="C9:C12"/>
    <mergeCell ref="D9:D12"/>
    <mergeCell ref="E9:F10"/>
    <mergeCell ref="F1:N1"/>
    <mergeCell ref="A3:D3"/>
    <mergeCell ref="E3:N3"/>
    <mergeCell ref="A4:D4"/>
    <mergeCell ref="E4:I7"/>
    <mergeCell ref="J4:N7"/>
    <mergeCell ref="A5:D5"/>
    <mergeCell ref="A7:D7"/>
    <mergeCell ref="N9:N12"/>
    <mergeCell ref="E11:E12"/>
    <mergeCell ref="F11:F12"/>
    <mergeCell ref="G11:G12"/>
    <mergeCell ref="H11:H12"/>
    <mergeCell ref="A6:D6"/>
    <mergeCell ref="A13:N13"/>
    <mergeCell ref="G9:H10"/>
    <mergeCell ref="I9:I12"/>
    <mergeCell ref="J9:J12"/>
    <mergeCell ref="K9:K12"/>
    <mergeCell ref="L9:L12"/>
    <mergeCell ref="M9:M12"/>
    <mergeCell ref="N27:N28"/>
    <mergeCell ref="A29:B30"/>
    <mergeCell ref="A31:B31"/>
    <mergeCell ref="A42:A45"/>
    <mergeCell ref="B42:B45"/>
    <mergeCell ref="C42:C45"/>
    <mergeCell ref="D42:D45"/>
    <mergeCell ref="E42:F43"/>
    <mergeCell ref="G42:H43"/>
    <mergeCell ref="I42:I45"/>
    <mergeCell ref="J42:J45"/>
    <mergeCell ref="K42:K45"/>
    <mergeCell ref="L42:L45"/>
    <mergeCell ref="M42:M45"/>
    <mergeCell ref="N42:N45"/>
    <mergeCell ref="E44:E45"/>
    <mergeCell ref="F44:F45"/>
    <mergeCell ref="G44:G45"/>
    <mergeCell ref="H44:H45"/>
    <mergeCell ref="A46:B46"/>
    <mergeCell ref="N46:N47"/>
    <mergeCell ref="A47:B47"/>
    <mergeCell ref="A48:B49"/>
    <mergeCell ref="A50:B51"/>
    <mergeCell ref="C50:C51"/>
    <mergeCell ref="D50:D51"/>
    <mergeCell ref="I50:I51"/>
    <mergeCell ref="J50:J51"/>
    <mergeCell ref="K50:K51"/>
    <mergeCell ref="G53:H53"/>
    <mergeCell ref="Q53:R53"/>
    <mergeCell ref="S53:T53"/>
    <mergeCell ref="U53:V53"/>
    <mergeCell ref="A54:C54"/>
    <mergeCell ref="E54:F54"/>
    <mergeCell ref="G54:H54"/>
    <mergeCell ref="Q54:R54"/>
    <mergeCell ref="S54:T54"/>
    <mergeCell ref="U54:V54"/>
    <mergeCell ref="L50:L57"/>
    <mergeCell ref="M50:M57"/>
    <mergeCell ref="N50:N57"/>
    <mergeCell ref="E51:F51"/>
    <mergeCell ref="G51:H51"/>
    <mergeCell ref="A52:C53"/>
    <mergeCell ref="I52:I53"/>
    <mergeCell ref="J52:J53"/>
    <mergeCell ref="K52:K53"/>
    <mergeCell ref="E53:F53"/>
    <mergeCell ref="E57:F57"/>
    <mergeCell ref="G57:H57"/>
    <mergeCell ref="A59:N59"/>
    <mergeCell ref="B60:N60"/>
    <mergeCell ref="B61:N61"/>
    <mergeCell ref="B62:N62"/>
    <mergeCell ref="A55:C55"/>
    <mergeCell ref="E55:F55"/>
    <mergeCell ref="G55:H55"/>
    <mergeCell ref="J55:J57"/>
    <mergeCell ref="K55:K57"/>
    <mergeCell ref="A56:B57"/>
    <mergeCell ref="C56:D56"/>
    <mergeCell ref="E56:F56"/>
    <mergeCell ref="G56:H56"/>
    <mergeCell ref="C57:D57"/>
    <mergeCell ref="J72:N72"/>
    <mergeCell ref="F82:N82"/>
    <mergeCell ref="A84:D85"/>
    <mergeCell ref="E84:N84"/>
    <mergeCell ref="E85:I85"/>
    <mergeCell ref="J85:N85"/>
    <mergeCell ref="B63:N63"/>
    <mergeCell ref="B64:N64"/>
    <mergeCell ref="A66:D66"/>
    <mergeCell ref="J66:N66"/>
    <mergeCell ref="J69:N69"/>
    <mergeCell ref="A70:D70"/>
    <mergeCell ref="A89:C89"/>
    <mergeCell ref="A90:A93"/>
    <mergeCell ref="B90:B93"/>
    <mergeCell ref="C90:C93"/>
    <mergeCell ref="D90:D93"/>
    <mergeCell ref="E90:F91"/>
    <mergeCell ref="A86:D86"/>
    <mergeCell ref="E86:I88"/>
    <mergeCell ref="J86:N86"/>
    <mergeCell ref="A87:D87"/>
    <mergeCell ref="J87:N87"/>
    <mergeCell ref="A88:D88"/>
    <mergeCell ref="J88:N88"/>
    <mergeCell ref="N106:N107"/>
    <mergeCell ref="A108:B109"/>
    <mergeCell ref="A110:B110"/>
    <mergeCell ref="N121:N122"/>
    <mergeCell ref="A123:B124"/>
    <mergeCell ref="A125:B125"/>
    <mergeCell ref="N90:N93"/>
    <mergeCell ref="E92:E93"/>
    <mergeCell ref="F92:F93"/>
    <mergeCell ref="G92:G93"/>
    <mergeCell ref="H92:H93"/>
    <mergeCell ref="A94:N94"/>
    <mergeCell ref="G90:H91"/>
    <mergeCell ref="I90:I93"/>
    <mergeCell ref="J90:J93"/>
    <mergeCell ref="K90:K93"/>
    <mergeCell ref="L90:L93"/>
    <mergeCell ref="M90:M93"/>
    <mergeCell ref="I127:I130"/>
    <mergeCell ref="J127:J130"/>
    <mergeCell ref="K127:K130"/>
    <mergeCell ref="L127:L130"/>
    <mergeCell ref="M127:M130"/>
    <mergeCell ref="N127:N130"/>
    <mergeCell ref="A127:A130"/>
    <mergeCell ref="B127:B130"/>
    <mergeCell ref="C127:C130"/>
    <mergeCell ref="D127:D130"/>
    <mergeCell ref="E127:F128"/>
    <mergeCell ref="G127:H128"/>
    <mergeCell ref="E129:E130"/>
    <mergeCell ref="F129:F130"/>
    <mergeCell ref="G129:G130"/>
    <mergeCell ref="H129:H130"/>
    <mergeCell ref="A137:C138"/>
    <mergeCell ref="I137:I138"/>
    <mergeCell ref="J137:J138"/>
    <mergeCell ref="K137:K138"/>
    <mergeCell ref="A139:C139"/>
    <mergeCell ref="A131:B131"/>
    <mergeCell ref="N131:N132"/>
    <mergeCell ref="A132:B132"/>
    <mergeCell ref="A133:B134"/>
    <mergeCell ref="A135:B136"/>
    <mergeCell ref="C135:C136"/>
    <mergeCell ref="D135:D136"/>
    <mergeCell ref="I135:I136"/>
    <mergeCell ref="J135:J136"/>
    <mergeCell ref="K135:K136"/>
    <mergeCell ref="Q137:R137"/>
    <mergeCell ref="S137:T137"/>
    <mergeCell ref="U137:V137"/>
    <mergeCell ref="E138:F138"/>
    <mergeCell ref="G138:H138"/>
    <mergeCell ref="Q138:R138"/>
    <mergeCell ref="S138:T138"/>
    <mergeCell ref="U138:V138"/>
    <mergeCell ref="L135:L142"/>
    <mergeCell ref="M135:M142"/>
    <mergeCell ref="N135:N142"/>
    <mergeCell ref="E136:F136"/>
    <mergeCell ref="G136:H136"/>
    <mergeCell ref="K140:K142"/>
    <mergeCell ref="J140:J142"/>
    <mergeCell ref="A141:B142"/>
    <mergeCell ref="C141:D141"/>
    <mergeCell ref="E141:F141"/>
    <mergeCell ref="G141:H141"/>
    <mergeCell ref="C142:D142"/>
    <mergeCell ref="E142:F142"/>
    <mergeCell ref="G142:H142"/>
    <mergeCell ref="E139:F139"/>
    <mergeCell ref="G139:H139"/>
    <mergeCell ref="A140:C140"/>
    <mergeCell ref="E140:F140"/>
    <mergeCell ref="G140:H140"/>
    <mergeCell ref="A151:D151"/>
    <mergeCell ref="J151:N151"/>
    <mergeCell ref="J154:N154"/>
    <mergeCell ref="A155:D155"/>
    <mergeCell ref="J157:N157"/>
    <mergeCell ref="A144:N144"/>
    <mergeCell ref="B145:N145"/>
    <mergeCell ref="B146:N146"/>
    <mergeCell ref="B147:N147"/>
    <mergeCell ref="B148:N148"/>
    <mergeCell ref="B149:N149"/>
  </mergeCells>
  <pageMargins left="0.26666666666666666" right="0.22500000000000001" top="0.46666666666666667" bottom="0.42499999999999999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55"/>
  <sheetViews>
    <sheetView view="pageLayout" workbookViewId="0">
      <selection activeCell="G9" sqref="G9:H10"/>
    </sheetView>
  </sheetViews>
  <sheetFormatPr defaultColWidth="9.140625" defaultRowHeight="21" customHeight="1" x14ac:dyDescent="0.25"/>
  <cols>
    <col min="1" max="1" width="4" style="1" customWidth="1"/>
    <col min="2" max="2" width="13.140625" style="1" customWidth="1"/>
    <col min="3" max="3" width="7.5703125" style="1" customWidth="1"/>
    <col min="4" max="4" width="7.140625" style="1" customWidth="1"/>
    <col min="5" max="8" width="7" style="1" customWidth="1"/>
    <col min="9" max="9" width="7.85546875" style="1" customWidth="1"/>
    <col min="10" max="11" width="7.140625" style="1" customWidth="1"/>
    <col min="12" max="12" width="6.42578125" style="1" customWidth="1"/>
    <col min="13" max="13" width="5.85546875" style="1" customWidth="1"/>
    <col min="14" max="14" width="6.85546875" style="1" customWidth="1"/>
    <col min="15" max="15" width="11.85546875" style="1" customWidth="1"/>
    <col min="16" max="16" width="9.140625" style="1"/>
    <col min="17" max="22" width="8.28515625" style="1" customWidth="1"/>
    <col min="23" max="16384" width="9.140625" style="1"/>
  </cols>
  <sheetData>
    <row r="1" spans="1:16" ht="22.9" customHeight="1" x14ac:dyDescent="0.3">
      <c r="A1" s="9" t="s">
        <v>59</v>
      </c>
      <c r="B1" s="6"/>
      <c r="C1" s="6"/>
      <c r="D1" s="6"/>
      <c r="E1" s="6"/>
      <c r="F1" s="265" t="s">
        <v>30</v>
      </c>
      <c r="G1" s="265"/>
      <c r="H1" s="265"/>
      <c r="I1" s="265"/>
      <c r="J1" s="265"/>
      <c r="K1" s="265"/>
      <c r="L1" s="265"/>
      <c r="M1" s="265"/>
      <c r="N1" s="265"/>
      <c r="O1" s="138"/>
      <c r="P1" s="138"/>
    </row>
    <row r="2" spans="1:16" ht="22.9" customHeight="1" x14ac:dyDescent="0.3">
      <c r="A2" s="6" t="s">
        <v>175</v>
      </c>
      <c r="B2" s="6"/>
      <c r="C2" s="6"/>
      <c r="D2" s="6"/>
      <c r="E2" s="6"/>
      <c r="F2" s="135"/>
      <c r="G2" s="135"/>
      <c r="H2" s="135"/>
      <c r="I2" s="135"/>
      <c r="J2" s="135"/>
      <c r="K2" s="135"/>
      <c r="L2" s="135"/>
      <c r="M2" s="135"/>
      <c r="N2" s="135"/>
      <c r="O2" s="138"/>
      <c r="P2" s="138"/>
    </row>
    <row r="3" spans="1:16" ht="21" customHeight="1" x14ac:dyDescent="0.25">
      <c r="A3" s="184" t="s">
        <v>95</v>
      </c>
      <c r="B3" s="184"/>
      <c r="C3" s="184"/>
      <c r="D3" s="184"/>
      <c r="E3" s="184" t="s">
        <v>93</v>
      </c>
      <c r="F3" s="184"/>
      <c r="G3" s="184"/>
      <c r="H3" s="184"/>
      <c r="I3" s="184"/>
      <c r="J3" s="184"/>
      <c r="K3" s="184"/>
      <c r="L3" s="184"/>
      <c r="M3" s="184"/>
      <c r="N3" s="184"/>
      <c r="O3" s="139"/>
    </row>
    <row r="4" spans="1:16" ht="21" customHeight="1" x14ac:dyDescent="0.25">
      <c r="A4" s="252" t="s">
        <v>83</v>
      </c>
      <c r="B4" s="252"/>
      <c r="C4" s="252"/>
      <c r="D4" s="252"/>
      <c r="E4" s="253" t="s">
        <v>131</v>
      </c>
      <c r="F4" s="253"/>
      <c r="G4" s="253"/>
      <c r="H4" s="253"/>
      <c r="I4" s="253"/>
      <c r="J4" s="284" t="s">
        <v>118</v>
      </c>
      <c r="K4" s="285"/>
      <c r="L4" s="285"/>
      <c r="M4" s="285"/>
      <c r="N4" s="286"/>
      <c r="O4" s="139"/>
    </row>
    <row r="5" spans="1:16" ht="21" customHeight="1" x14ac:dyDescent="0.25">
      <c r="A5" s="304" t="s">
        <v>137</v>
      </c>
      <c r="B5" s="304"/>
      <c r="C5" s="304"/>
      <c r="D5" s="304"/>
      <c r="E5" s="253"/>
      <c r="F5" s="253"/>
      <c r="G5" s="253"/>
      <c r="H5" s="253"/>
      <c r="I5" s="253"/>
      <c r="J5" s="287"/>
      <c r="K5" s="288"/>
      <c r="L5" s="288"/>
      <c r="M5" s="288"/>
      <c r="N5" s="289"/>
      <c r="O5" s="139"/>
    </row>
    <row r="6" spans="1:16" ht="21" customHeight="1" x14ac:dyDescent="0.25">
      <c r="A6" s="293" t="s">
        <v>136</v>
      </c>
      <c r="B6" s="294"/>
      <c r="C6" s="294"/>
      <c r="D6" s="295"/>
      <c r="E6" s="253"/>
      <c r="F6" s="253"/>
      <c r="G6" s="253"/>
      <c r="H6" s="253"/>
      <c r="I6" s="253"/>
      <c r="J6" s="287"/>
      <c r="K6" s="288"/>
      <c r="L6" s="288"/>
      <c r="M6" s="288"/>
      <c r="N6" s="289"/>
      <c r="O6" s="139"/>
    </row>
    <row r="7" spans="1:16" ht="21" customHeight="1" x14ac:dyDescent="0.25">
      <c r="A7" s="261" t="s">
        <v>160</v>
      </c>
      <c r="B7" s="261"/>
      <c r="C7" s="261"/>
      <c r="D7" s="261"/>
      <c r="E7" s="253"/>
      <c r="F7" s="253"/>
      <c r="G7" s="253"/>
      <c r="H7" s="253"/>
      <c r="I7" s="253"/>
      <c r="J7" s="290"/>
      <c r="K7" s="291"/>
      <c r="L7" s="291"/>
      <c r="M7" s="291"/>
      <c r="N7" s="292"/>
      <c r="O7" s="139"/>
    </row>
    <row r="8" spans="1:16" ht="21" customHeight="1" x14ac:dyDescent="0.25">
      <c r="A8" s="303" t="s">
        <v>110</v>
      </c>
      <c r="B8" s="303"/>
      <c r="C8" s="305">
        <v>189</v>
      </c>
      <c r="D8" s="305"/>
      <c r="E8" s="62"/>
      <c r="F8" s="62"/>
      <c r="G8" s="62"/>
      <c r="H8" s="62"/>
      <c r="I8" s="62"/>
      <c r="J8" s="62"/>
      <c r="K8" s="62"/>
      <c r="L8" s="62"/>
      <c r="M8" s="62"/>
      <c r="N8" s="134"/>
      <c r="O8" s="139"/>
    </row>
    <row r="9" spans="1:16" ht="21" customHeight="1" x14ac:dyDescent="0.25">
      <c r="A9" s="233" t="s">
        <v>0</v>
      </c>
      <c r="B9" s="238" t="s">
        <v>19</v>
      </c>
      <c r="C9" s="238" t="s">
        <v>8</v>
      </c>
      <c r="D9" s="238" t="s">
        <v>9</v>
      </c>
      <c r="E9" s="241" t="s">
        <v>11</v>
      </c>
      <c r="F9" s="242"/>
      <c r="G9" s="241" t="s">
        <v>13</v>
      </c>
      <c r="H9" s="242"/>
      <c r="I9" s="233" t="s">
        <v>16</v>
      </c>
      <c r="J9" s="233" t="s">
        <v>32</v>
      </c>
      <c r="K9" s="233" t="s">
        <v>33</v>
      </c>
      <c r="L9" s="233" t="s">
        <v>17</v>
      </c>
      <c r="M9" s="233" t="s">
        <v>34</v>
      </c>
      <c r="N9" s="233" t="s">
        <v>18</v>
      </c>
      <c r="O9" s="140"/>
    </row>
    <row r="10" spans="1:16" ht="21" customHeight="1" x14ac:dyDescent="0.25">
      <c r="A10" s="236"/>
      <c r="B10" s="239"/>
      <c r="C10" s="239"/>
      <c r="D10" s="239"/>
      <c r="E10" s="243"/>
      <c r="F10" s="244"/>
      <c r="G10" s="243"/>
      <c r="H10" s="244"/>
      <c r="I10" s="234"/>
      <c r="J10" s="234"/>
      <c r="K10" s="234"/>
      <c r="L10" s="234"/>
      <c r="M10" s="234"/>
      <c r="N10" s="236"/>
      <c r="O10" s="132"/>
    </row>
    <row r="11" spans="1:16" ht="21" customHeight="1" x14ac:dyDescent="0.25">
      <c r="A11" s="236"/>
      <c r="B11" s="239"/>
      <c r="C11" s="239"/>
      <c r="D11" s="239"/>
      <c r="E11" s="233" t="s">
        <v>10</v>
      </c>
      <c r="F11" s="233" t="s">
        <v>12</v>
      </c>
      <c r="G11" s="233" t="s">
        <v>14</v>
      </c>
      <c r="H11" s="233" t="s">
        <v>15</v>
      </c>
      <c r="I11" s="234"/>
      <c r="J11" s="234"/>
      <c r="K11" s="234"/>
      <c r="L11" s="234"/>
      <c r="M11" s="234"/>
      <c r="N11" s="236"/>
      <c r="O11" s="132"/>
    </row>
    <row r="12" spans="1:16" ht="21" customHeight="1" x14ac:dyDescent="0.25">
      <c r="A12" s="237"/>
      <c r="B12" s="240"/>
      <c r="C12" s="240"/>
      <c r="D12" s="240"/>
      <c r="E12" s="235"/>
      <c r="F12" s="235"/>
      <c r="G12" s="235"/>
      <c r="H12" s="235"/>
      <c r="I12" s="235"/>
      <c r="J12" s="235"/>
      <c r="K12" s="235"/>
      <c r="L12" s="235"/>
      <c r="M12" s="235"/>
      <c r="N12" s="237"/>
      <c r="O12" s="132"/>
    </row>
    <row r="13" spans="1:16" ht="20.45" customHeight="1" x14ac:dyDescent="0.25">
      <c r="A13" s="246" t="s">
        <v>35</v>
      </c>
      <c r="B13" s="247"/>
      <c r="C13" s="247"/>
      <c r="D13" s="247"/>
      <c r="E13" s="247"/>
      <c r="F13" s="247"/>
      <c r="G13" s="247"/>
      <c r="H13" s="247"/>
      <c r="I13" s="247"/>
      <c r="J13" s="247"/>
      <c r="K13" s="247"/>
      <c r="L13" s="247"/>
      <c r="M13" s="247"/>
      <c r="N13" s="248"/>
      <c r="O13" s="132"/>
    </row>
    <row r="14" spans="1:16" ht="20.45" customHeight="1" x14ac:dyDescent="0.25">
      <c r="A14" s="7">
        <v>1</v>
      </c>
      <c r="B14" s="8" t="s">
        <v>2</v>
      </c>
      <c r="C14" s="10">
        <f>L14/100*100</f>
        <v>250</v>
      </c>
      <c r="D14" s="11">
        <f>C14/100*60</f>
        <v>150</v>
      </c>
      <c r="E14" s="12">
        <f>C14/100*15</f>
        <v>37.5</v>
      </c>
      <c r="F14" s="12"/>
      <c r="G14" s="12"/>
      <c r="H14" s="12"/>
      <c r="I14" s="12"/>
      <c r="J14" s="56">
        <f>C14/100*387</f>
        <v>967.5</v>
      </c>
      <c r="K14" s="19">
        <f>C14/100*0.09</f>
        <v>0.22499999999999998</v>
      </c>
      <c r="L14" s="13">
        <v>250</v>
      </c>
      <c r="M14" s="17">
        <v>20</v>
      </c>
      <c r="N14" s="10">
        <f>L14*M14</f>
        <v>5000</v>
      </c>
      <c r="O14" s="3"/>
    </row>
    <row r="15" spans="1:16" ht="20.45" customHeight="1" x14ac:dyDescent="0.25">
      <c r="A15" s="7">
        <v>2</v>
      </c>
      <c r="B15" s="8" t="s">
        <v>121</v>
      </c>
      <c r="C15" s="10">
        <f>L15/100*100</f>
        <v>390</v>
      </c>
      <c r="D15" s="57">
        <f>C15/100*899</f>
        <v>3506.1</v>
      </c>
      <c r="E15" s="12"/>
      <c r="F15" s="12"/>
      <c r="G15" s="12">
        <f>C15/100*100</f>
        <v>390</v>
      </c>
      <c r="H15" s="12"/>
      <c r="I15" s="12"/>
      <c r="J15" s="12"/>
      <c r="K15" s="12"/>
      <c r="L15" s="13">
        <v>390</v>
      </c>
      <c r="M15" s="57">
        <v>68</v>
      </c>
      <c r="N15" s="10">
        <f t="shared" ref="N15:N25" si="0">L15*M15</f>
        <v>26520</v>
      </c>
      <c r="O15" s="141"/>
    </row>
    <row r="16" spans="1:16" ht="20.45" customHeight="1" x14ac:dyDescent="0.25">
      <c r="A16" s="7">
        <v>3</v>
      </c>
      <c r="B16" s="8" t="s">
        <v>126</v>
      </c>
      <c r="C16" s="10">
        <f>L16/100*100</f>
        <v>170</v>
      </c>
      <c r="D16" s="57">
        <f>C16/100*900</f>
        <v>1530</v>
      </c>
      <c r="E16" s="12"/>
      <c r="F16" s="12"/>
      <c r="G16" s="81"/>
      <c r="H16" s="12">
        <f>C16/100*100</f>
        <v>170</v>
      </c>
      <c r="I16" s="12"/>
      <c r="J16" s="12"/>
      <c r="K16" s="12"/>
      <c r="L16" s="99">
        <v>170</v>
      </c>
      <c r="M16" s="57">
        <v>63.5</v>
      </c>
      <c r="N16" s="83">
        <f t="shared" si="0"/>
        <v>10795</v>
      </c>
      <c r="O16" s="141"/>
    </row>
    <row r="17" spans="1:20" ht="20.45" customHeight="1" x14ac:dyDescent="0.25">
      <c r="A17" s="7">
        <v>4</v>
      </c>
      <c r="B17" s="4" t="s">
        <v>1</v>
      </c>
      <c r="C17" s="10">
        <f>L17/100*100</f>
        <v>17955</v>
      </c>
      <c r="D17" s="57">
        <f>C17/100*337</f>
        <v>60508.350000000006</v>
      </c>
      <c r="E17" s="12"/>
      <c r="F17" s="81">
        <f>C17/100*7.9</f>
        <v>1418.4450000000002</v>
      </c>
      <c r="G17" s="12"/>
      <c r="H17" s="12">
        <f>C17/100*1</f>
        <v>179.55</v>
      </c>
      <c r="I17" s="81">
        <f>C17/100*71.9</f>
        <v>12909.645000000002</v>
      </c>
      <c r="J17" s="56">
        <f>C17/100*30</f>
        <v>5386.5</v>
      </c>
      <c r="K17" s="19">
        <f>C17/100*0.1</f>
        <v>17.955000000000002</v>
      </c>
      <c r="L17" s="13">
        <v>17955</v>
      </c>
      <c r="M17" s="17">
        <v>18</v>
      </c>
      <c r="N17" s="83">
        <f t="shared" si="0"/>
        <v>323190</v>
      </c>
      <c r="O17" s="3"/>
    </row>
    <row r="18" spans="1:20" ht="20.45" customHeight="1" x14ac:dyDescent="0.25">
      <c r="A18" s="7">
        <v>5</v>
      </c>
      <c r="B18" s="8" t="s">
        <v>66</v>
      </c>
      <c r="C18" s="10">
        <f>L18/100*98</f>
        <v>4821.6000000000004</v>
      </c>
      <c r="D18" s="57">
        <f>C18/100*139</f>
        <v>6702.0240000000003</v>
      </c>
      <c r="E18" s="12">
        <f>C18/100*19</f>
        <v>916.10400000000004</v>
      </c>
      <c r="F18" s="12"/>
      <c r="G18" s="12">
        <f>C18/100*7</f>
        <v>337.512</v>
      </c>
      <c r="H18" s="12"/>
      <c r="I18" s="12"/>
      <c r="J18" s="56">
        <f>C18/100*7</f>
        <v>337.512</v>
      </c>
      <c r="K18" s="19">
        <f>C18/100*0.9</f>
        <v>43.394400000000005</v>
      </c>
      <c r="L18" s="13">
        <v>4920</v>
      </c>
      <c r="M18" s="13">
        <v>130</v>
      </c>
      <c r="N18" s="83">
        <f t="shared" si="0"/>
        <v>639600</v>
      </c>
      <c r="O18" s="3"/>
    </row>
    <row r="19" spans="1:20" ht="20.45" customHeight="1" x14ac:dyDescent="0.25">
      <c r="A19" s="7">
        <v>6</v>
      </c>
      <c r="B19" s="4" t="s">
        <v>4</v>
      </c>
      <c r="C19" s="10">
        <f>L19/100*98</f>
        <v>2263.8000000000002</v>
      </c>
      <c r="D19" s="57">
        <f>C19/100*118</f>
        <v>2671.2840000000001</v>
      </c>
      <c r="E19" s="12">
        <f>C19/100*21</f>
        <v>475.39800000000002</v>
      </c>
      <c r="F19" s="12"/>
      <c r="G19" s="12">
        <f>C19/100*3.8</f>
        <v>86.0244</v>
      </c>
      <c r="H19" s="12"/>
      <c r="I19" s="12">
        <f>C19/100*2.5</f>
        <v>56.595000000000006</v>
      </c>
      <c r="J19" s="55">
        <f>C19/100*12</f>
        <v>271.65600000000001</v>
      </c>
      <c r="K19" s="18">
        <f>C19/100*0.1</f>
        <v>2.2638000000000003</v>
      </c>
      <c r="L19" s="143">
        <v>2310</v>
      </c>
      <c r="M19" s="38">
        <v>250</v>
      </c>
      <c r="N19" s="83">
        <f t="shared" si="0"/>
        <v>577500</v>
      </c>
      <c r="O19" s="146"/>
      <c r="Q19" s="2"/>
      <c r="R19" s="2"/>
    </row>
    <row r="20" spans="1:20" ht="20.45" customHeight="1" x14ac:dyDescent="0.25">
      <c r="A20" s="7">
        <v>7</v>
      </c>
      <c r="B20" s="4" t="s">
        <v>117</v>
      </c>
      <c r="C20" s="10">
        <f>L20/100*100</f>
        <v>190</v>
      </c>
      <c r="D20" s="11">
        <f>C20/100*247</f>
        <v>469.29999999999995</v>
      </c>
      <c r="E20" s="14"/>
      <c r="F20" s="14">
        <f>C20/100*17.5</f>
        <v>33.25</v>
      </c>
      <c r="G20" s="14"/>
      <c r="H20" s="14">
        <f>C20/100*1.6</f>
        <v>3.04</v>
      </c>
      <c r="I20" s="14">
        <f>C20/100*39.2</f>
        <v>74.48</v>
      </c>
      <c r="J20" s="18"/>
      <c r="K20" s="18"/>
      <c r="L20" s="143">
        <v>190</v>
      </c>
      <c r="M20" s="17">
        <v>50</v>
      </c>
      <c r="N20" s="10">
        <f t="shared" si="0"/>
        <v>9500</v>
      </c>
      <c r="O20" s="3"/>
      <c r="Q20" s="2"/>
      <c r="R20" s="2"/>
      <c r="S20" s="3"/>
      <c r="T20" s="2"/>
    </row>
    <row r="21" spans="1:20" ht="20.45" customHeight="1" x14ac:dyDescent="0.25">
      <c r="A21" s="7">
        <v>8</v>
      </c>
      <c r="B21" s="4" t="s">
        <v>20</v>
      </c>
      <c r="C21" s="10">
        <f>L21/100*95</f>
        <v>1795.4999999999998</v>
      </c>
      <c r="D21" s="11">
        <f>C21/100*20</f>
        <v>359.09999999999997</v>
      </c>
      <c r="E21" s="12"/>
      <c r="F21" s="12">
        <f>C21/100*0.6</f>
        <v>10.772999999999998</v>
      </c>
      <c r="G21" s="12"/>
      <c r="H21" s="12">
        <f>C21/100*0.2</f>
        <v>3.5909999999999997</v>
      </c>
      <c r="I21" s="12">
        <f>C21/100*4</f>
        <v>71.819999999999993</v>
      </c>
      <c r="J21" s="55">
        <f>C21/100*12</f>
        <v>215.45999999999998</v>
      </c>
      <c r="K21" s="18">
        <f>C21/100*0.04</f>
        <v>0.71819999999999995</v>
      </c>
      <c r="L21" s="144">
        <v>1890</v>
      </c>
      <c r="M21" s="13">
        <v>40</v>
      </c>
      <c r="N21" s="10">
        <f t="shared" si="0"/>
        <v>75600</v>
      </c>
      <c r="O21" s="3"/>
    </row>
    <row r="22" spans="1:20" ht="20.45" customHeight="1" x14ac:dyDescent="0.25">
      <c r="A22" s="7">
        <v>9</v>
      </c>
      <c r="B22" s="4" t="s">
        <v>5</v>
      </c>
      <c r="C22" s="10">
        <f>L22/100*98.5</f>
        <v>1861.6499999999999</v>
      </c>
      <c r="D22" s="11">
        <f>C22/100*39</f>
        <v>726.04349999999999</v>
      </c>
      <c r="E22" s="14"/>
      <c r="F22" s="14">
        <f>C22/100*1.5</f>
        <v>27.924749999999996</v>
      </c>
      <c r="G22" s="14"/>
      <c r="H22" s="14">
        <f>C22/100*0.2</f>
        <v>3.7233000000000001</v>
      </c>
      <c r="I22" s="14">
        <f>C22/100*7.8</f>
        <v>145.20869999999999</v>
      </c>
      <c r="J22" s="14">
        <f>C22/100*43</f>
        <v>800.50949999999989</v>
      </c>
      <c r="K22" s="14">
        <f>C22/100*0.06</f>
        <v>1.1169899999999999</v>
      </c>
      <c r="L22" s="144">
        <v>1890</v>
      </c>
      <c r="M22" s="13">
        <v>17</v>
      </c>
      <c r="N22" s="10">
        <f t="shared" si="0"/>
        <v>32130</v>
      </c>
      <c r="O22" s="3"/>
      <c r="Q22" s="2"/>
      <c r="R22" s="2"/>
      <c r="S22" s="3"/>
    </row>
    <row r="23" spans="1:20" ht="20.45" customHeight="1" x14ac:dyDescent="0.25">
      <c r="A23" s="7">
        <v>10</v>
      </c>
      <c r="B23" s="4" t="s">
        <v>68</v>
      </c>
      <c r="C23" s="10">
        <f>L23/100*75</f>
        <v>1417.5</v>
      </c>
      <c r="D23" s="11">
        <f>C23/100*12</f>
        <v>170.10000000000002</v>
      </c>
      <c r="E23" s="12">
        <f>C23/100*0.6</f>
        <v>8.5050000000000008</v>
      </c>
      <c r="F23" s="12"/>
      <c r="G23" s="12"/>
      <c r="H23" s="12"/>
      <c r="I23" s="12">
        <f>C23/100*2.4</f>
        <v>34.020000000000003</v>
      </c>
      <c r="J23" s="56">
        <f>C23/100*26</f>
        <v>368.55</v>
      </c>
      <c r="K23" s="19">
        <f>C23/100*0.02</f>
        <v>0.28350000000000003</v>
      </c>
      <c r="L23" s="144">
        <v>1890</v>
      </c>
      <c r="M23" s="13">
        <v>30</v>
      </c>
      <c r="N23" s="10">
        <f t="shared" si="0"/>
        <v>56700</v>
      </c>
      <c r="O23" s="3"/>
    </row>
    <row r="24" spans="1:20" ht="20.45" customHeight="1" x14ac:dyDescent="0.25">
      <c r="A24" s="7">
        <v>11</v>
      </c>
      <c r="B24" s="59" t="s">
        <v>62</v>
      </c>
      <c r="C24" s="10">
        <f>L24/100*89</f>
        <v>5802.8</v>
      </c>
      <c r="D24" s="57">
        <f>C24/100*154</f>
        <v>8936.3119999999999</v>
      </c>
      <c r="E24" s="12">
        <f>C24/100*13.1</f>
        <v>760.16679999999997</v>
      </c>
      <c r="F24" s="12"/>
      <c r="G24" s="12">
        <f>C24/100*11.1</f>
        <v>644.11079999999993</v>
      </c>
      <c r="H24" s="12"/>
      <c r="I24" s="12">
        <f>C24/100*0.4</f>
        <v>23.211200000000002</v>
      </c>
      <c r="J24" s="56">
        <f>C24/100*64</f>
        <v>3713.7919999999999</v>
      </c>
      <c r="K24" s="19">
        <f>C24/100*0.13</f>
        <v>7.5436399999999999</v>
      </c>
      <c r="L24" s="13">
        <v>6520</v>
      </c>
      <c r="M24" s="37">
        <v>82</v>
      </c>
      <c r="N24" s="82">
        <f t="shared" si="0"/>
        <v>534640</v>
      </c>
      <c r="O24" s="3"/>
    </row>
    <row r="25" spans="1:20" ht="20.45" customHeight="1" x14ac:dyDescent="0.25">
      <c r="A25" s="7">
        <v>12</v>
      </c>
      <c r="B25" s="4" t="s">
        <v>161</v>
      </c>
      <c r="C25" s="10">
        <f>L25/100*90</f>
        <v>5967</v>
      </c>
      <c r="D25" s="57">
        <f>C25/100*29</f>
        <v>1730.43</v>
      </c>
      <c r="E25" s="14"/>
      <c r="F25" s="14">
        <f>C25/100*1.8</f>
        <v>107.40600000000001</v>
      </c>
      <c r="G25" s="14"/>
      <c r="H25" s="14">
        <f>C25/100*0.1</f>
        <v>5.9670000000000005</v>
      </c>
      <c r="I25" s="14">
        <f>C25/100*5.3</f>
        <v>316.25099999999998</v>
      </c>
      <c r="J25" s="55">
        <f>C25/100*48</f>
        <v>2864.16</v>
      </c>
      <c r="K25" s="18">
        <f>C25/100*0.05</f>
        <v>2.9835000000000003</v>
      </c>
      <c r="L25" s="143">
        <v>6630</v>
      </c>
      <c r="M25" s="13">
        <v>15</v>
      </c>
      <c r="N25" s="10">
        <f t="shared" si="0"/>
        <v>99450</v>
      </c>
      <c r="O25" s="3"/>
      <c r="Q25" s="2"/>
      <c r="R25" s="2"/>
      <c r="S25" s="3"/>
    </row>
    <row r="26" spans="1:20" ht="20.45" customHeight="1" x14ac:dyDescent="0.25">
      <c r="A26" s="7">
        <v>13</v>
      </c>
      <c r="B26" s="8" t="s">
        <v>111</v>
      </c>
      <c r="C26" s="10"/>
      <c r="D26" s="167"/>
      <c r="E26" s="12"/>
      <c r="F26" s="12"/>
      <c r="G26" s="12"/>
      <c r="H26" s="12"/>
      <c r="I26" s="12"/>
      <c r="J26" s="19"/>
      <c r="K26" s="19"/>
      <c r="L26" s="13"/>
      <c r="M26" s="13"/>
      <c r="N26" s="10">
        <v>14250</v>
      </c>
      <c r="O26" s="3"/>
    </row>
    <row r="27" spans="1:20" ht="20.45" customHeight="1" x14ac:dyDescent="0.25">
      <c r="A27" s="20" t="s">
        <v>97</v>
      </c>
      <c r="B27" s="21"/>
      <c r="C27" s="22"/>
      <c r="D27" s="166">
        <f>SUM(D14:D26)</f>
        <v>87459.043500000029</v>
      </c>
      <c r="E27" s="24"/>
      <c r="F27" s="24"/>
      <c r="G27" s="24"/>
      <c r="H27" s="24"/>
      <c r="I27" s="24"/>
      <c r="J27" s="24"/>
      <c r="K27" s="24"/>
      <c r="L27" s="25"/>
      <c r="M27" s="25"/>
      <c r="N27" s="301">
        <f>SUM(N14:N26)</f>
        <v>2404875</v>
      </c>
      <c r="O27" s="3"/>
    </row>
    <row r="28" spans="1:20" ht="20.45" customHeight="1" x14ac:dyDescent="0.25">
      <c r="A28" s="20" t="s">
        <v>6</v>
      </c>
      <c r="B28" s="21"/>
      <c r="C28" s="22"/>
      <c r="D28" s="23">
        <f>D27/C8</f>
        <v>462.74626190476204</v>
      </c>
      <c r="E28" s="24"/>
      <c r="F28" s="24"/>
      <c r="G28" s="24"/>
      <c r="H28" s="24"/>
      <c r="I28" s="24"/>
      <c r="J28" s="24"/>
      <c r="K28" s="24"/>
      <c r="L28" s="25"/>
      <c r="M28" s="25"/>
      <c r="N28" s="302"/>
      <c r="O28" s="3"/>
    </row>
    <row r="29" spans="1:20" ht="20.45" customHeight="1" x14ac:dyDescent="0.25">
      <c r="A29" s="217" t="s">
        <v>37</v>
      </c>
      <c r="B29" s="218"/>
      <c r="C29" s="145" t="s">
        <v>132</v>
      </c>
      <c r="D29" s="26" t="s">
        <v>38</v>
      </c>
      <c r="E29" s="24"/>
      <c r="F29" s="24"/>
      <c r="G29" s="24"/>
      <c r="H29" s="24"/>
      <c r="I29" s="24"/>
      <c r="J29" s="24"/>
      <c r="K29" s="24"/>
      <c r="L29" s="25"/>
      <c r="M29" s="25"/>
      <c r="N29" s="27"/>
      <c r="O29" s="3"/>
    </row>
    <row r="30" spans="1:20" ht="20.45" customHeight="1" x14ac:dyDescent="0.25">
      <c r="A30" s="219"/>
      <c r="B30" s="220"/>
      <c r="C30" s="54" t="s">
        <v>58</v>
      </c>
      <c r="D30" s="26">
        <f>D28*100/1320</f>
        <v>35.056534992785004</v>
      </c>
      <c r="E30" s="24"/>
      <c r="F30" s="24"/>
      <c r="G30" s="24"/>
      <c r="H30" s="24"/>
      <c r="I30" s="24"/>
      <c r="J30" s="24"/>
      <c r="K30" s="24"/>
      <c r="L30" s="25"/>
      <c r="M30" s="25"/>
      <c r="N30" s="27"/>
      <c r="O30" s="3"/>
    </row>
    <row r="31" spans="1:20" ht="20.45" customHeight="1" x14ac:dyDescent="0.3">
      <c r="A31" s="245" t="s">
        <v>39</v>
      </c>
      <c r="B31" s="245"/>
      <c r="C31" s="39"/>
      <c r="D31" s="40"/>
      <c r="E31" s="41"/>
      <c r="F31" s="41"/>
      <c r="G31" s="41"/>
      <c r="H31" s="41"/>
      <c r="I31" s="41"/>
      <c r="J31" s="41"/>
      <c r="K31" s="41"/>
      <c r="L31" s="42"/>
      <c r="M31" s="42"/>
      <c r="N31" s="43"/>
      <c r="O31" s="3"/>
    </row>
    <row r="32" spans="1:20" ht="20.45" customHeight="1" x14ac:dyDescent="0.25">
      <c r="A32" s="7">
        <v>1</v>
      </c>
      <c r="B32" s="8" t="s">
        <v>2</v>
      </c>
      <c r="C32" s="10">
        <f>L32/100*100</f>
        <v>229.99999999999997</v>
      </c>
      <c r="D32" s="11">
        <f>C32/100*60</f>
        <v>138</v>
      </c>
      <c r="E32" s="12">
        <f>C32/100*15</f>
        <v>34.5</v>
      </c>
      <c r="F32" s="12"/>
      <c r="G32" s="12"/>
      <c r="H32" s="12"/>
      <c r="I32" s="12"/>
      <c r="J32" s="56">
        <f>C32/100*387</f>
        <v>890.09999999999991</v>
      </c>
      <c r="K32" s="19">
        <f>C32/100*0.09</f>
        <v>0.20699999999999999</v>
      </c>
      <c r="L32" s="99">
        <v>230</v>
      </c>
      <c r="M32" s="17">
        <v>20</v>
      </c>
      <c r="N32" s="10">
        <f>L32*M32</f>
        <v>4600</v>
      </c>
      <c r="O32" s="3"/>
    </row>
    <row r="33" spans="1:20" ht="20.45" customHeight="1" x14ac:dyDescent="0.25">
      <c r="A33" s="7">
        <v>2</v>
      </c>
      <c r="B33" s="8" t="s">
        <v>121</v>
      </c>
      <c r="C33" s="10">
        <f>L33/100*100</f>
        <v>470</v>
      </c>
      <c r="D33" s="57">
        <f>C33/100*899</f>
        <v>4225.3</v>
      </c>
      <c r="E33" s="12"/>
      <c r="F33" s="12"/>
      <c r="G33" s="12">
        <f>C33/100*100</f>
        <v>470</v>
      </c>
      <c r="H33" s="12"/>
      <c r="I33" s="12"/>
      <c r="J33" s="12"/>
      <c r="K33" s="12"/>
      <c r="L33" s="13">
        <v>470</v>
      </c>
      <c r="M33" s="57">
        <v>68</v>
      </c>
      <c r="N33" s="10">
        <f t="shared" ref="N33" si="1">L33*M33</f>
        <v>31960</v>
      </c>
      <c r="O33" s="141"/>
    </row>
    <row r="34" spans="1:20" ht="20.45" customHeight="1" x14ac:dyDescent="0.25">
      <c r="A34" s="7">
        <v>3</v>
      </c>
      <c r="B34" s="4" t="s">
        <v>65</v>
      </c>
      <c r="C34" s="10">
        <f>L34/100*100</f>
        <v>1889.9999999999998</v>
      </c>
      <c r="D34" s="57">
        <f>C34/100*344</f>
        <v>6501.5999999999995</v>
      </c>
      <c r="E34" s="12"/>
      <c r="F34" s="12">
        <f>C34/100*8.6</f>
        <v>162.54</v>
      </c>
      <c r="G34" s="12"/>
      <c r="H34" s="12">
        <f>C34/100*1.5</f>
        <v>28.349999999999998</v>
      </c>
      <c r="I34" s="12">
        <f>C34/100*74.5</f>
        <v>1408.05</v>
      </c>
      <c r="J34" s="12">
        <f>C34/100*32</f>
        <v>604.79999999999995</v>
      </c>
      <c r="K34" s="12">
        <f>C34/100*0.14</f>
        <v>2.6459999999999999</v>
      </c>
      <c r="L34" s="99">
        <v>1890</v>
      </c>
      <c r="M34" s="17">
        <v>30</v>
      </c>
      <c r="N34" s="10">
        <f t="shared" ref="N34:N39" si="2">L34*M34</f>
        <v>56700</v>
      </c>
      <c r="O34" s="3"/>
      <c r="P34" s="146"/>
    </row>
    <row r="35" spans="1:20" ht="20.45" customHeight="1" x14ac:dyDescent="0.25">
      <c r="A35" s="7">
        <v>4</v>
      </c>
      <c r="B35" s="4" t="s">
        <v>1</v>
      </c>
      <c r="C35" s="10">
        <f>L35/100*100</f>
        <v>2835</v>
      </c>
      <c r="D35" s="57">
        <f>C35/100*337</f>
        <v>9553.9500000000007</v>
      </c>
      <c r="E35" s="12"/>
      <c r="F35" s="12">
        <f>C35/100*7.9</f>
        <v>223.96500000000003</v>
      </c>
      <c r="G35" s="12"/>
      <c r="H35" s="12">
        <f>C35/100*1</f>
        <v>28.35</v>
      </c>
      <c r="I35" s="81">
        <f>C35/100*71.9</f>
        <v>2038.3650000000002</v>
      </c>
      <c r="J35" s="56">
        <f>C35/100*30</f>
        <v>850.5</v>
      </c>
      <c r="K35" s="19">
        <f>C35/100*0.1</f>
        <v>2.8350000000000004</v>
      </c>
      <c r="L35" s="99">
        <v>2835</v>
      </c>
      <c r="M35" s="17">
        <v>18</v>
      </c>
      <c r="N35" s="10">
        <f t="shared" si="2"/>
        <v>51030</v>
      </c>
      <c r="O35" s="3"/>
    </row>
    <row r="36" spans="1:20" ht="20.45" customHeight="1" x14ac:dyDescent="0.25">
      <c r="A36" s="7">
        <v>5</v>
      </c>
      <c r="B36" s="4" t="s">
        <v>117</v>
      </c>
      <c r="C36" s="10">
        <f>L36/100*100</f>
        <v>110.00000000000001</v>
      </c>
      <c r="D36" s="11">
        <f>C36/100*247</f>
        <v>271.70000000000005</v>
      </c>
      <c r="E36" s="14"/>
      <c r="F36" s="14">
        <f>C36/100*17.5</f>
        <v>19.25</v>
      </c>
      <c r="G36" s="14"/>
      <c r="H36" s="14">
        <f>C36/100*1.6</f>
        <v>1.7600000000000002</v>
      </c>
      <c r="I36" s="14">
        <f>C36/100*39.2</f>
        <v>43.120000000000005</v>
      </c>
      <c r="J36" s="18"/>
      <c r="K36" s="18"/>
      <c r="L36" s="143">
        <v>110</v>
      </c>
      <c r="M36" s="17">
        <v>50</v>
      </c>
      <c r="N36" s="10">
        <f t="shared" si="2"/>
        <v>5500</v>
      </c>
      <c r="O36" s="3"/>
      <c r="Q36" s="2"/>
      <c r="R36" s="2"/>
      <c r="S36" s="3"/>
      <c r="T36" s="2"/>
    </row>
    <row r="37" spans="1:20" ht="20.45" customHeight="1" x14ac:dyDescent="0.25">
      <c r="A37" s="7">
        <v>6</v>
      </c>
      <c r="B37" s="4" t="s">
        <v>68</v>
      </c>
      <c r="C37" s="10">
        <f>L37/100*75</f>
        <v>2835</v>
      </c>
      <c r="D37" s="11">
        <f>C37/100*12</f>
        <v>340.20000000000005</v>
      </c>
      <c r="E37" s="12">
        <f>C37/100*0.6</f>
        <v>17.010000000000002</v>
      </c>
      <c r="F37" s="12"/>
      <c r="G37" s="12"/>
      <c r="H37" s="12"/>
      <c r="I37" s="12">
        <f>C37/100*2.4</f>
        <v>68.040000000000006</v>
      </c>
      <c r="J37" s="56">
        <f>C37/100*26</f>
        <v>737.1</v>
      </c>
      <c r="K37" s="19">
        <f>C37/100*0.02</f>
        <v>0.56700000000000006</v>
      </c>
      <c r="L37" s="99">
        <v>3780</v>
      </c>
      <c r="M37" s="13">
        <v>30</v>
      </c>
      <c r="N37" s="83">
        <f t="shared" si="2"/>
        <v>113400</v>
      </c>
      <c r="O37" s="3"/>
    </row>
    <row r="38" spans="1:20" ht="20.45" customHeight="1" x14ac:dyDescent="0.25">
      <c r="A38" s="7">
        <v>7</v>
      </c>
      <c r="B38" s="8" t="s">
        <v>64</v>
      </c>
      <c r="C38" s="10">
        <f>L38/100*40</f>
        <v>4068</v>
      </c>
      <c r="D38" s="57">
        <f>C38/100*276</f>
        <v>11227.68</v>
      </c>
      <c r="E38" s="12">
        <f>C38/100*17.8</f>
        <v>724.10400000000004</v>
      </c>
      <c r="F38" s="12"/>
      <c r="G38" s="12">
        <f>C38/100*21.8</f>
        <v>886.82400000000007</v>
      </c>
      <c r="H38" s="12"/>
      <c r="I38" s="12"/>
      <c r="J38" s="56">
        <f>C38/100*13</f>
        <v>528.84</v>
      </c>
      <c r="K38" s="19">
        <f>C38/100*0.07</f>
        <v>2.8476000000000004</v>
      </c>
      <c r="L38" s="99">
        <v>10170</v>
      </c>
      <c r="M38" s="17">
        <v>63</v>
      </c>
      <c r="N38" s="83">
        <f t="shared" si="2"/>
        <v>640710</v>
      </c>
      <c r="O38" s="3"/>
    </row>
    <row r="39" spans="1:20" ht="20.45" customHeight="1" x14ac:dyDescent="0.25">
      <c r="A39" s="7">
        <v>8</v>
      </c>
      <c r="B39" s="125" t="s">
        <v>130</v>
      </c>
      <c r="C39" s="10">
        <f>L39/100*100</f>
        <v>3220.0000000000005</v>
      </c>
      <c r="D39" s="57">
        <f>C39/100*487</f>
        <v>15681.400000000001</v>
      </c>
      <c r="E39" s="14"/>
      <c r="F39" s="14">
        <f>C39/100*19.5</f>
        <v>627.90000000000009</v>
      </c>
      <c r="G39" s="14"/>
      <c r="H39" s="14">
        <f>C39/100*23.2</f>
        <v>747.04000000000008</v>
      </c>
      <c r="I39" s="14">
        <f>C39/100*46</f>
        <v>1481.2</v>
      </c>
      <c r="J39" s="81">
        <f>C39/100*680</f>
        <v>21896.000000000004</v>
      </c>
      <c r="K39" s="12">
        <f>C39/100*0.55</f>
        <v>17.710000000000004</v>
      </c>
      <c r="L39" s="143">
        <v>3220</v>
      </c>
      <c r="M39" s="91">
        <v>260</v>
      </c>
      <c r="N39" s="83">
        <f t="shared" si="2"/>
        <v>837200</v>
      </c>
      <c r="O39" s="3"/>
      <c r="P39" s="2"/>
    </row>
    <row r="40" spans="1:20" ht="20.45" customHeight="1" x14ac:dyDescent="0.25">
      <c r="A40" s="69">
        <v>9</v>
      </c>
      <c r="B40" s="70" t="s">
        <v>111</v>
      </c>
      <c r="C40" s="71"/>
      <c r="D40" s="72"/>
      <c r="E40" s="73"/>
      <c r="F40" s="73"/>
      <c r="G40" s="93"/>
      <c r="H40" s="93"/>
      <c r="I40" s="73"/>
      <c r="J40" s="73"/>
      <c r="K40" s="73"/>
      <c r="L40" s="74"/>
      <c r="M40" s="74"/>
      <c r="N40" s="71">
        <v>12050</v>
      </c>
      <c r="O40" s="3"/>
    </row>
    <row r="41" spans="1:20" ht="22.15" customHeight="1" x14ac:dyDescent="0.25">
      <c r="A41" s="233" t="s">
        <v>0</v>
      </c>
      <c r="B41" s="238" t="s">
        <v>19</v>
      </c>
      <c r="C41" s="238" t="s">
        <v>8</v>
      </c>
      <c r="D41" s="238" t="s">
        <v>9</v>
      </c>
      <c r="E41" s="241" t="s">
        <v>11</v>
      </c>
      <c r="F41" s="242"/>
      <c r="G41" s="241" t="s">
        <v>13</v>
      </c>
      <c r="H41" s="242"/>
      <c r="I41" s="233" t="s">
        <v>16</v>
      </c>
      <c r="J41" s="233" t="s">
        <v>32</v>
      </c>
      <c r="K41" s="233" t="s">
        <v>33</v>
      </c>
      <c r="L41" s="233" t="s">
        <v>17</v>
      </c>
      <c r="M41" s="233" t="s">
        <v>34</v>
      </c>
      <c r="N41" s="233" t="s">
        <v>18</v>
      </c>
      <c r="O41" s="140"/>
    </row>
    <row r="42" spans="1:20" ht="22.15" customHeight="1" x14ac:dyDescent="0.25">
      <c r="A42" s="236"/>
      <c r="B42" s="239"/>
      <c r="C42" s="239"/>
      <c r="D42" s="239"/>
      <c r="E42" s="243"/>
      <c r="F42" s="244"/>
      <c r="G42" s="243"/>
      <c r="H42" s="244"/>
      <c r="I42" s="234"/>
      <c r="J42" s="234"/>
      <c r="K42" s="234"/>
      <c r="L42" s="234"/>
      <c r="M42" s="234"/>
      <c r="N42" s="236"/>
      <c r="O42" s="132"/>
    </row>
    <row r="43" spans="1:20" ht="22.15" customHeight="1" x14ac:dyDescent="0.25">
      <c r="A43" s="236"/>
      <c r="B43" s="239"/>
      <c r="C43" s="239"/>
      <c r="D43" s="239"/>
      <c r="E43" s="233" t="s">
        <v>10</v>
      </c>
      <c r="F43" s="233" t="s">
        <v>12</v>
      </c>
      <c r="G43" s="233" t="s">
        <v>14</v>
      </c>
      <c r="H43" s="233" t="s">
        <v>15</v>
      </c>
      <c r="I43" s="234"/>
      <c r="J43" s="234"/>
      <c r="K43" s="234"/>
      <c r="L43" s="234"/>
      <c r="M43" s="234"/>
      <c r="N43" s="236"/>
      <c r="O43" s="132"/>
    </row>
    <row r="44" spans="1:20" ht="22.15" customHeight="1" x14ac:dyDescent="0.25">
      <c r="A44" s="237"/>
      <c r="B44" s="240"/>
      <c r="C44" s="240"/>
      <c r="D44" s="240"/>
      <c r="E44" s="235"/>
      <c r="F44" s="235"/>
      <c r="G44" s="235"/>
      <c r="H44" s="235"/>
      <c r="I44" s="235"/>
      <c r="J44" s="235"/>
      <c r="K44" s="235"/>
      <c r="L44" s="235"/>
      <c r="M44" s="235"/>
      <c r="N44" s="237"/>
      <c r="O44" s="132"/>
    </row>
    <row r="45" spans="1:20" ht="21" customHeight="1" x14ac:dyDescent="0.25">
      <c r="A45" s="214" t="s">
        <v>98</v>
      </c>
      <c r="B45" s="214"/>
      <c r="C45" s="22"/>
      <c r="D45" s="166">
        <f>SUM(D32:D40)</f>
        <v>47939.83</v>
      </c>
      <c r="E45" s="5"/>
      <c r="F45" s="5"/>
      <c r="G45" s="5"/>
      <c r="H45" s="5"/>
      <c r="I45" s="5"/>
      <c r="J45" s="5"/>
      <c r="K45" s="5"/>
      <c r="L45" s="28"/>
      <c r="M45" s="28"/>
      <c r="N45" s="280">
        <f>SUM(N32:N40)</f>
        <v>1753150</v>
      </c>
      <c r="O45" s="3"/>
    </row>
    <row r="46" spans="1:20" ht="21" customHeight="1" x14ac:dyDescent="0.25">
      <c r="A46" s="214" t="s">
        <v>7</v>
      </c>
      <c r="B46" s="214"/>
      <c r="C46" s="29"/>
      <c r="D46" s="30">
        <f>D45/C8</f>
        <v>253.64989417989418</v>
      </c>
      <c r="E46" s="30"/>
      <c r="F46" s="30"/>
      <c r="G46" s="30"/>
      <c r="H46" s="30"/>
      <c r="I46" s="30"/>
      <c r="J46" s="30"/>
      <c r="K46" s="30"/>
      <c r="L46" s="28"/>
      <c r="M46" s="28"/>
      <c r="N46" s="281"/>
      <c r="O46" s="3"/>
    </row>
    <row r="47" spans="1:20" ht="21" customHeight="1" x14ac:dyDescent="0.25">
      <c r="A47" s="217" t="s">
        <v>40</v>
      </c>
      <c r="B47" s="218"/>
      <c r="C47" s="145" t="s">
        <v>132</v>
      </c>
      <c r="D47" s="26" t="s">
        <v>41</v>
      </c>
      <c r="E47" s="30"/>
      <c r="F47" s="30"/>
      <c r="G47" s="30"/>
      <c r="H47" s="30"/>
      <c r="I47" s="30"/>
      <c r="J47" s="31"/>
      <c r="K47" s="31"/>
      <c r="L47" s="28"/>
      <c r="M47" s="28"/>
      <c r="N47" s="137"/>
      <c r="O47" s="3"/>
    </row>
    <row r="48" spans="1:20" ht="21" customHeight="1" x14ac:dyDescent="0.25">
      <c r="A48" s="219"/>
      <c r="B48" s="220"/>
      <c r="C48" s="54" t="s">
        <v>58</v>
      </c>
      <c r="D48" s="26">
        <f>D46*100/1320</f>
        <v>19.215901074234409</v>
      </c>
      <c r="E48" s="30"/>
      <c r="F48" s="30"/>
      <c r="G48" s="30"/>
      <c r="H48" s="30"/>
      <c r="I48" s="30"/>
      <c r="J48" s="31"/>
      <c r="K48" s="31"/>
      <c r="L48" s="28"/>
      <c r="M48" s="28"/>
      <c r="N48" s="137"/>
      <c r="O48" s="3"/>
    </row>
    <row r="49" spans="1:22" ht="21" customHeight="1" x14ac:dyDescent="0.25">
      <c r="A49" s="221" t="s">
        <v>106</v>
      </c>
      <c r="B49" s="222"/>
      <c r="C49" s="225"/>
      <c r="D49" s="276">
        <f>D27+D45</f>
        <v>135398.87350000005</v>
      </c>
      <c r="E49" s="86">
        <f>SUM(E14:E40)</f>
        <v>2973.2878000000001</v>
      </c>
      <c r="F49" s="86">
        <f t="shared" ref="F49:H49" si="3">SUM(F14:F40)</f>
        <v>2631.4537500000001</v>
      </c>
      <c r="G49" s="86">
        <f t="shared" si="3"/>
        <v>2814.4712</v>
      </c>
      <c r="H49" s="85">
        <f t="shared" si="3"/>
        <v>1171.3713000000002</v>
      </c>
      <c r="I49" s="278">
        <f>SUM(I14:I40)</f>
        <v>18670.0059</v>
      </c>
      <c r="J49" s="231">
        <f>SUM(J14:J40)</f>
        <v>40432.979500000001</v>
      </c>
      <c r="K49" s="229">
        <f>SUM(K14:K40)</f>
        <v>103.29663000000001</v>
      </c>
      <c r="L49" s="193"/>
      <c r="M49" s="193"/>
      <c r="N49" s="194">
        <f>N27+N45</f>
        <v>4158025</v>
      </c>
    </row>
    <row r="50" spans="1:22" ht="21" customHeight="1" x14ac:dyDescent="0.25">
      <c r="A50" s="223"/>
      <c r="B50" s="224"/>
      <c r="C50" s="226"/>
      <c r="D50" s="277"/>
      <c r="E50" s="195">
        <f>E49+F49</f>
        <v>5604.7415500000006</v>
      </c>
      <c r="F50" s="196"/>
      <c r="G50" s="195">
        <f>G49+H49</f>
        <v>3985.8425000000002</v>
      </c>
      <c r="H50" s="196"/>
      <c r="I50" s="279"/>
      <c r="J50" s="232"/>
      <c r="K50" s="230"/>
      <c r="L50" s="193"/>
      <c r="M50" s="193"/>
      <c r="N50" s="194"/>
    </row>
    <row r="51" spans="1:22" ht="21" customHeight="1" x14ac:dyDescent="0.25">
      <c r="A51" s="268" t="s">
        <v>75</v>
      </c>
      <c r="B51" s="269"/>
      <c r="C51" s="270"/>
      <c r="D51" s="90">
        <f>D49/C8</f>
        <v>716.39615608465635</v>
      </c>
      <c r="E51" s="162">
        <f>E49/C8</f>
        <v>15.731681481481482</v>
      </c>
      <c r="F51" s="94">
        <f>F49/C8</f>
        <v>13.923035714285716</v>
      </c>
      <c r="G51" s="162">
        <f>G49/C8</f>
        <v>14.89138201058201</v>
      </c>
      <c r="H51" s="95">
        <f>H49/C8</f>
        <v>6.1977317460317476</v>
      </c>
      <c r="I51" s="274">
        <f>I49/C8</f>
        <v>98.783100000000005</v>
      </c>
      <c r="J51" s="300">
        <f>J49/C8</f>
        <v>213.93110846560847</v>
      </c>
      <c r="K51" s="206">
        <f>K49/C8</f>
        <v>0.5465430158730159</v>
      </c>
      <c r="L51" s="193"/>
      <c r="M51" s="193"/>
      <c r="N51" s="194"/>
    </row>
    <row r="52" spans="1:22" ht="21" customHeight="1" x14ac:dyDescent="0.25">
      <c r="A52" s="271"/>
      <c r="B52" s="272"/>
      <c r="C52" s="273"/>
      <c r="D52" s="88"/>
      <c r="E52" s="190">
        <f>E51+F51</f>
        <v>29.654717195767198</v>
      </c>
      <c r="F52" s="191"/>
      <c r="G52" s="190">
        <f>G51+H51</f>
        <v>21.089113756613756</v>
      </c>
      <c r="H52" s="191"/>
      <c r="I52" s="275"/>
      <c r="J52" s="209"/>
      <c r="K52" s="207"/>
      <c r="L52" s="193"/>
      <c r="M52" s="193"/>
      <c r="N52" s="194"/>
      <c r="P52" s="106"/>
      <c r="Q52" s="188"/>
      <c r="R52" s="188"/>
      <c r="S52" s="188"/>
      <c r="T52" s="188"/>
      <c r="U52" s="189"/>
      <c r="V52" s="189"/>
    </row>
    <row r="53" spans="1:22" ht="21" customHeight="1" x14ac:dyDescent="0.25">
      <c r="A53" s="211" t="s">
        <v>76</v>
      </c>
      <c r="B53" s="212"/>
      <c r="C53" s="213"/>
      <c r="D53" s="136" t="s">
        <v>27</v>
      </c>
      <c r="E53" s="184" t="s">
        <v>21</v>
      </c>
      <c r="F53" s="184"/>
      <c r="G53" s="184" t="s">
        <v>22</v>
      </c>
      <c r="H53" s="184"/>
      <c r="I53" s="136" t="s">
        <v>23</v>
      </c>
      <c r="J53" s="159">
        <v>600</v>
      </c>
      <c r="K53" s="159">
        <v>0.74</v>
      </c>
      <c r="L53" s="193"/>
      <c r="M53" s="193"/>
      <c r="N53" s="194"/>
      <c r="O53" s="147"/>
      <c r="P53" s="154"/>
      <c r="Q53" s="188"/>
      <c r="R53" s="188"/>
      <c r="S53" s="188"/>
      <c r="T53" s="188"/>
      <c r="U53" s="188"/>
      <c r="V53" s="188"/>
    </row>
    <row r="54" spans="1:22" ht="21" customHeight="1" x14ac:dyDescent="0.25">
      <c r="A54" s="180" t="s">
        <v>69</v>
      </c>
      <c r="B54" s="185"/>
      <c r="C54" s="181"/>
      <c r="D54" s="16"/>
      <c r="E54" s="186">
        <f>E52*4.1</f>
        <v>121.5843405026455</v>
      </c>
      <c r="F54" s="187"/>
      <c r="G54" s="186">
        <f>G52*9</f>
        <v>189.8020238095238</v>
      </c>
      <c r="H54" s="187"/>
      <c r="I54" s="60">
        <f>I51*4.1</f>
        <v>405.01070999999996</v>
      </c>
      <c r="J54" s="197"/>
      <c r="K54" s="197"/>
      <c r="L54" s="193"/>
      <c r="M54" s="193"/>
      <c r="N54" s="194"/>
      <c r="O54" s="147"/>
      <c r="P54" s="151"/>
      <c r="Q54" s="152"/>
      <c r="R54" s="152"/>
      <c r="S54" s="152"/>
      <c r="T54" s="106"/>
      <c r="U54" s="106"/>
      <c r="V54" s="106"/>
    </row>
    <row r="55" spans="1:22" ht="21" customHeight="1" x14ac:dyDescent="0.25">
      <c r="A55" s="176" t="s">
        <v>70</v>
      </c>
      <c r="B55" s="177"/>
      <c r="C55" s="180" t="s">
        <v>58</v>
      </c>
      <c r="D55" s="181"/>
      <c r="E55" s="182">
        <f>E54*100/D51</f>
        <v>16.971662880932307</v>
      </c>
      <c r="F55" s="183"/>
      <c r="G55" s="182">
        <f>G54*100/D51</f>
        <v>26.494003659491295</v>
      </c>
      <c r="H55" s="183"/>
      <c r="I55" s="75">
        <f>I54*100/D51</f>
        <v>56.534461632725446</v>
      </c>
      <c r="J55" s="198"/>
      <c r="K55" s="198"/>
      <c r="L55" s="193"/>
      <c r="M55" s="193"/>
      <c r="N55" s="194"/>
      <c r="O55" s="160"/>
      <c r="P55" s="106"/>
      <c r="Q55" s="153"/>
      <c r="R55" s="106"/>
      <c r="S55" s="106"/>
      <c r="T55" s="106"/>
      <c r="U55" s="106"/>
      <c r="V55" s="106"/>
    </row>
    <row r="56" spans="1:22" ht="21" customHeight="1" x14ac:dyDescent="0.25">
      <c r="A56" s="178"/>
      <c r="B56" s="179"/>
      <c r="C56" s="180" t="s">
        <v>71</v>
      </c>
      <c r="D56" s="181"/>
      <c r="E56" s="180" t="s">
        <v>72</v>
      </c>
      <c r="F56" s="181"/>
      <c r="G56" s="180" t="s">
        <v>73</v>
      </c>
      <c r="H56" s="181"/>
      <c r="I56" s="136" t="s">
        <v>74</v>
      </c>
      <c r="J56" s="199"/>
      <c r="K56" s="199"/>
      <c r="L56" s="193"/>
      <c r="M56" s="193"/>
      <c r="N56" s="194"/>
      <c r="O56" s="147"/>
      <c r="P56" s="2"/>
    </row>
    <row r="57" spans="1:22" ht="21" customHeight="1" x14ac:dyDescent="0.25">
      <c r="A57" s="63"/>
      <c r="B57" s="64"/>
      <c r="C57" s="63"/>
      <c r="D57" s="63"/>
      <c r="E57" s="63"/>
      <c r="F57" s="63"/>
      <c r="G57" s="63"/>
      <c r="H57" s="63"/>
      <c r="I57" s="63"/>
      <c r="J57" s="63"/>
      <c r="K57" s="63"/>
      <c r="L57" s="65"/>
      <c r="M57" s="65"/>
      <c r="N57" s="66"/>
      <c r="O57" s="147"/>
    </row>
    <row r="58" spans="1:22" ht="21" customHeight="1" x14ac:dyDescent="0.25">
      <c r="A58" s="172" t="s">
        <v>100</v>
      </c>
      <c r="B58" s="172"/>
      <c r="C58" s="172"/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72"/>
      <c r="O58" s="147"/>
    </row>
    <row r="59" spans="1:22" ht="21" customHeight="1" x14ac:dyDescent="0.25">
      <c r="A59" s="77" t="s">
        <v>101</v>
      </c>
      <c r="B59" s="173" t="s">
        <v>102</v>
      </c>
      <c r="C59" s="173"/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47"/>
    </row>
    <row r="60" spans="1:22" ht="21" customHeight="1" x14ac:dyDescent="0.25">
      <c r="A60" s="78"/>
      <c r="B60" s="174" t="s">
        <v>183</v>
      </c>
      <c r="C60" s="174"/>
      <c r="D60" s="174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47"/>
    </row>
    <row r="61" spans="1:22" ht="21" customHeight="1" x14ac:dyDescent="0.25">
      <c r="A61" s="78"/>
      <c r="B61" s="174" t="s">
        <v>184</v>
      </c>
      <c r="C61" s="174"/>
      <c r="D61" s="174"/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47"/>
    </row>
    <row r="62" spans="1:22" ht="21" customHeight="1" x14ac:dyDescent="0.25">
      <c r="A62" s="78"/>
      <c r="B62" s="174" t="s">
        <v>185</v>
      </c>
      <c r="C62" s="174"/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47"/>
    </row>
    <row r="63" spans="1:22" ht="21" customHeight="1" x14ac:dyDescent="0.25">
      <c r="A63" s="63"/>
      <c r="B63" s="175" t="s">
        <v>107</v>
      </c>
      <c r="C63" s="175"/>
      <c r="D63" s="175"/>
      <c r="E63" s="175"/>
      <c r="F63" s="175"/>
      <c r="G63" s="175"/>
      <c r="H63" s="175"/>
      <c r="I63" s="175"/>
      <c r="J63" s="175"/>
      <c r="K63" s="175"/>
      <c r="L63" s="175"/>
      <c r="M63" s="175"/>
      <c r="N63" s="175"/>
      <c r="O63" s="147"/>
    </row>
    <row r="64" spans="1:22" ht="21" customHeight="1" x14ac:dyDescent="0.25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79"/>
      <c r="M64" s="79"/>
      <c r="N64" s="80"/>
      <c r="O64" s="147"/>
    </row>
    <row r="65" spans="1:16" ht="21" customHeight="1" x14ac:dyDescent="0.25">
      <c r="A65" s="168" t="s">
        <v>60</v>
      </c>
      <c r="B65" s="168"/>
      <c r="C65" s="168"/>
      <c r="D65" s="168"/>
      <c r="E65" s="148"/>
      <c r="F65" s="148"/>
      <c r="G65" s="148"/>
      <c r="H65" s="148"/>
      <c r="I65" s="148"/>
      <c r="J65" s="169" t="s">
        <v>36</v>
      </c>
      <c r="K65" s="169"/>
      <c r="L65" s="169"/>
      <c r="M65" s="169"/>
      <c r="N65" s="169"/>
      <c r="O65" s="147"/>
    </row>
    <row r="66" spans="1:16" ht="21" customHeight="1" x14ac:dyDescent="0.25">
      <c r="A66" s="132"/>
      <c r="B66" s="132"/>
      <c r="C66" s="132"/>
      <c r="D66" s="148"/>
      <c r="E66" s="148"/>
      <c r="F66" s="148"/>
      <c r="G66" s="148"/>
      <c r="H66" s="149"/>
      <c r="I66" s="149"/>
      <c r="J66" s="149"/>
      <c r="K66" s="149"/>
      <c r="L66" s="149"/>
      <c r="M66" s="149"/>
      <c r="N66" s="149"/>
      <c r="O66" s="147"/>
    </row>
    <row r="67" spans="1:16" ht="21" customHeight="1" x14ac:dyDescent="0.25">
      <c r="A67" s="132"/>
      <c r="B67" s="132"/>
      <c r="C67" s="132"/>
      <c r="D67" s="148"/>
      <c r="E67" s="148"/>
      <c r="F67" s="148"/>
      <c r="G67" s="148"/>
      <c r="H67" s="149"/>
      <c r="I67" s="149"/>
      <c r="J67" s="149"/>
      <c r="K67" s="149"/>
      <c r="L67" s="149"/>
      <c r="M67" s="149"/>
      <c r="N67" s="149"/>
      <c r="O67" s="147"/>
    </row>
    <row r="68" spans="1:16" ht="21" customHeight="1" x14ac:dyDescent="0.25">
      <c r="A68" s="132"/>
      <c r="B68" s="132"/>
      <c r="C68" s="132"/>
      <c r="D68" s="148"/>
      <c r="E68" s="148"/>
      <c r="F68" s="148"/>
      <c r="G68" s="148"/>
      <c r="H68" s="149"/>
      <c r="I68" s="149"/>
      <c r="J68" s="170" t="s">
        <v>103</v>
      </c>
      <c r="K68" s="170"/>
      <c r="L68" s="170"/>
      <c r="M68" s="170"/>
      <c r="N68" s="170"/>
      <c r="O68" s="147"/>
    </row>
    <row r="69" spans="1:16" ht="21" customHeight="1" x14ac:dyDescent="0.25">
      <c r="A69" s="171" t="s">
        <v>84</v>
      </c>
      <c r="B69" s="171"/>
      <c r="C69" s="171"/>
      <c r="D69" s="171"/>
      <c r="E69" s="148"/>
      <c r="F69" s="148"/>
      <c r="G69" s="148"/>
      <c r="H69" s="149"/>
      <c r="I69" s="149"/>
      <c r="O69" s="147"/>
    </row>
    <row r="70" spans="1:16" ht="21" customHeight="1" x14ac:dyDescent="0.25">
      <c r="A70" s="132"/>
      <c r="B70" s="132"/>
      <c r="C70" s="132"/>
      <c r="D70" s="148"/>
      <c r="E70" s="148"/>
      <c r="F70" s="148"/>
      <c r="G70" s="148"/>
      <c r="H70" s="149"/>
      <c r="I70" s="149"/>
      <c r="J70" s="149"/>
      <c r="K70" s="149"/>
      <c r="L70" s="149"/>
      <c r="M70" s="149"/>
      <c r="N70" s="149"/>
      <c r="O70" s="147"/>
    </row>
    <row r="71" spans="1:16" ht="21" customHeight="1" x14ac:dyDescent="0.25">
      <c r="A71" s="132"/>
      <c r="B71" s="132"/>
      <c r="C71" s="132"/>
      <c r="D71" s="148"/>
      <c r="E71" s="148"/>
      <c r="F71" s="148"/>
      <c r="G71" s="148"/>
      <c r="H71" s="149"/>
      <c r="I71" s="149"/>
      <c r="J71" s="170" t="s">
        <v>114</v>
      </c>
      <c r="K71" s="170"/>
      <c r="L71" s="170"/>
      <c r="M71" s="170"/>
      <c r="N71" s="170"/>
      <c r="O71" s="147"/>
    </row>
    <row r="72" spans="1:16" ht="21" customHeight="1" x14ac:dyDescent="0.25">
      <c r="A72" s="132"/>
      <c r="B72" s="132"/>
      <c r="C72" s="132"/>
      <c r="D72" s="148"/>
      <c r="E72" s="148"/>
      <c r="F72" s="148"/>
      <c r="G72" s="148"/>
      <c r="H72" s="149"/>
      <c r="I72" s="149"/>
      <c r="J72" s="149"/>
      <c r="K72" s="149"/>
      <c r="L72" s="149"/>
      <c r="M72" s="149"/>
      <c r="N72" s="149"/>
      <c r="O72" s="147"/>
    </row>
    <row r="73" spans="1:16" ht="21" customHeight="1" x14ac:dyDescent="0.25">
      <c r="A73" s="132"/>
      <c r="B73" s="132"/>
      <c r="C73" s="132"/>
      <c r="D73" s="148"/>
      <c r="E73" s="148"/>
      <c r="F73" s="148"/>
      <c r="G73" s="148"/>
      <c r="H73" s="149"/>
      <c r="I73" s="149"/>
      <c r="J73" s="149"/>
      <c r="K73" s="149"/>
      <c r="L73" s="149"/>
      <c r="M73" s="149"/>
      <c r="N73" s="149"/>
      <c r="O73" s="147"/>
    </row>
    <row r="74" spans="1:16" ht="21" customHeight="1" x14ac:dyDescent="0.25">
      <c r="A74" s="132"/>
      <c r="B74" s="132"/>
      <c r="C74" s="132"/>
      <c r="D74" s="148"/>
      <c r="E74" s="148"/>
      <c r="F74" s="148"/>
      <c r="G74" s="148"/>
      <c r="H74" s="149"/>
      <c r="I74" s="149"/>
      <c r="J74" s="149"/>
      <c r="K74" s="149"/>
      <c r="L74" s="149"/>
      <c r="M74" s="149"/>
      <c r="N74" s="149"/>
      <c r="O74" s="147"/>
    </row>
    <row r="75" spans="1:16" ht="21" customHeight="1" x14ac:dyDescent="0.25">
      <c r="A75" s="132"/>
      <c r="B75" s="132"/>
      <c r="C75" s="132"/>
      <c r="D75" s="148"/>
      <c r="E75" s="148"/>
      <c r="F75" s="148"/>
      <c r="G75" s="148"/>
      <c r="H75" s="149"/>
      <c r="I75" s="149"/>
      <c r="J75" s="149"/>
      <c r="K75" s="149"/>
      <c r="L75" s="149"/>
      <c r="M75" s="149"/>
      <c r="N75" s="149"/>
      <c r="O75" s="147"/>
    </row>
    <row r="76" spans="1:16" ht="21" customHeight="1" x14ac:dyDescent="0.25">
      <c r="A76" s="132"/>
      <c r="B76" s="132"/>
      <c r="C76" s="132"/>
      <c r="D76" s="148"/>
      <c r="E76" s="148"/>
      <c r="F76" s="148"/>
      <c r="G76" s="148"/>
      <c r="H76" s="149"/>
      <c r="I76" s="149"/>
      <c r="J76" s="149"/>
      <c r="K76" s="149"/>
      <c r="L76" s="149"/>
      <c r="M76" s="149"/>
      <c r="N76" s="149"/>
      <c r="O76" s="147"/>
    </row>
    <row r="77" spans="1:16" ht="21" customHeight="1" x14ac:dyDescent="0.25">
      <c r="A77" s="132"/>
      <c r="B77" s="132"/>
      <c r="C77" s="132"/>
      <c r="D77" s="148"/>
      <c r="E77" s="148"/>
      <c r="F77" s="148"/>
      <c r="G77" s="148"/>
      <c r="H77" s="149"/>
      <c r="I77" s="149"/>
      <c r="J77" s="149"/>
      <c r="K77" s="149"/>
      <c r="L77" s="149"/>
      <c r="M77" s="149"/>
      <c r="N77" s="149"/>
      <c r="O77" s="147"/>
    </row>
    <row r="78" spans="1:16" ht="21" customHeight="1" x14ac:dyDescent="0.25">
      <c r="A78" s="132"/>
      <c r="B78" s="132"/>
      <c r="C78" s="132"/>
      <c r="D78" s="148"/>
      <c r="E78" s="148"/>
      <c r="F78" s="148"/>
      <c r="G78" s="148"/>
      <c r="H78" s="149"/>
      <c r="I78" s="149"/>
      <c r="J78" s="149"/>
      <c r="K78" s="149"/>
      <c r="L78" s="149"/>
      <c r="M78" s="149"/>
      <c r="N78" s="149"/>
      <c r="O78" s="147"/>
    </row>
    <row r="79" spans="1:16" ht="21" customHeight="1" x14ac:dyDescent="0.25">
      <c r="A79" s="132"/>
      <c r="B79" s="132"/>
      <c r="C79" s="132"/>
      <c r="D79" s="148"/>
      <c r="E79" s="148"/>
      <c r="F79" s="148"/>
      <c r="G79" s="148"/>
      <c r="H79" s="149"/>
      <c r="I79" s="149"/>
      <c r="J79" s="149"/>
      <c r="K79" s="149"/>
      <c r="L79" s="149"/>
      <c r="M79" s="149"/>
      <c r="N79" s="149"/>
      <c r="O79" s="147"/>
    </row>
    <row r="80" spans="1:16" ht="19.149999999999999" customHeight="1" x14ac:dyDescent="0.3">
      <c r="A80" s="9" t="s">
        <v>59</v>
      </c>
      <c r="B80" s="6"/>
      <c r="C80" s="6"/>
      <c r="D80" s="6"/>
      <c r="E80" s="6"/>
      <c r="F80" s="265" t="s">
        <v>31</v>
      </c>
      <c r="G80" s="265"/>
      <c r="H80" s="265"/>
      <c r="I80" s="265"/>
      <c r="J80" s="265"/>
      <c r="K80" s="265"/>
      <c r="L80" s="265"/>
      <c r="M80" s="265"/>
      <c r="N80" s="265"/>
      <c r="O80" s="138"/>
      <c r="P80" s="138"/>
    </row>
    <row r="81" spans="1:16" ht="19.149999999999999" customHeight="1" x14ac:dyDescent="0.3">
      <c r="A81" s="6" t="s">
        <v>175</v>
      </c>
      <c r="B81" s="6"/>
      <c r="C81" s="6"/>
      <c r="D81" s="6"/>
      <c r="E81" s="6"/>
      <c r="F81" s="135"/>
      <c r="G81" s="135"/>
      <c r="H81" s="135"/>
      <c r="I81" s="135"/>
      <c r="J81" s="135"/>
      <c r="K81" s="135"/>
      <c r="L81" s="135"/>
      <c r="M81" s="135"/>
      <c r="N81" s="135"/>
      <c r="O81" s="138"/>
      <c r="P81" s="138"/>
    </row>
    <row r="82" spans="1:16" ht="19.149999999999999" customHeight="1" x14ac:dyDescent="0.25">
      <c r="A82" s="184" t="s">
        <v>95</v>
      </c>
      <c r="B82" s="184"/>
      <c r="C82" s="184"/>
      <c r="D82" s="184"/>
      <c r="E82" s="184" t="s">
        <v>82</v>
      </c>
      <c r="F82" s="184"/>
      <c r="G82" s="184"/>
      <c r="H82" s="184"/>
      <c r="I82" s="184"/>
      <c r="J82" s="184"/>
      <c r="K82" s="184"/>
      <c r="L82" s="184"/>
      <c r="M82" s="184"/>
      <c r="N82" s="184"/>
      <c r="O82" s="139"/>
    </row>
    <row r="83" spans="1:16" ht="19.149999999999999" customHeight="1" x14ac:dyDescent="0.25">
      <c r="A83" s="184"/>
      <c r="B83" s="184"/>
      <c r="C83" s="184"/>
      <c r="D83" s="184"/>
      <c r="E83" s="184" t="s">
        <v>94</v>
      </c>
      <c r="F83" s="184"/>
      <c r="G83" s="184"/>
      <c r="H83" s="184"/>
      <c r="I83" s="184"/>
      <c r="J83" s="184" t="s">
        <v>96</v>
      </c>
      <c r="K83" s="184"/>
      <c r="L83" s="184"/>
      <c r="M83" s="184"/>
      <c r="N83" s="184"/>
      <c r="O83" s="139"/>
    </row>
    <row r="84" spans="1:16" ht="19.149999999999999" customHeight="1" x14ac:dyDescent="0.25">
      <c r="A84" s="252" t="s">
        <v>83</v>
      </c>
      <c r="B84" s="252"/>
      <c r="C84" s="252"/>
      <c r="D84" s="252"/>
      <c r="E84" s="253" t="s">
        <v>131</v>
      </c>
      <c r="F84" s="253"/>
      <c r="G84" s="253"/>
      <c r="H84" s="253"/>
      <c r="I84" s="253"/>
      <c r="J84" s="254" t="s">
        <v>83</v>
      </c>
      <c r="K84" s="255"/>
      <c r="L84" s="255"/>
      <c r="M84" s="255"/>
      <c r="N84" s="256"/>
      <c r="O84" s="139"/>
    </row>
    <row r="85" spans="1:16" ht="19.149999999999999" customHeight="1" x14ac:dyDescent="0.25">
      <c r="A85" s="304" t="s">
        <v>137</v>
      </c>
      <c r="B85" s="304"/>
      <c r="C85" s="304"/>
      <c r="D85" s="304"/>
      <c r="E85" s="253"/>
      <c r="F85" s="253"/>
      <c r="G85" s="253"/>
      <c r="H85" s="253"/>
      <c r="I85" s="253"/>
      <c r="J85" s="258" t="s">
        <v>115</v>
      </c>
      <c r="K85" s="259"/>
      <c r="L85" s="259"/>
      <c r="M85" s="259"/>
      <c r="N85" s="260"/>
      <c r="O85" s="139"/>
    </row>
    <row r="86" spans="1:16" ht="19.149999999999999" customHeight="1" x14ac:dyDescent="0.25">
      <c r="A86" s="261" t="s">
        <v>162</v>
      </c>
      <c r="B86" s="261"/>
      <c r="C86" s="261"/>
      <c r="D86" s="261"/>
      <c r="E86" s="253"/>
      <c r="F86" s="253"/>
      <c r="G86" s="253"/>
      <c r="H86" s="253"/>
      <c r="I86" s="253"/>
      <c r="J86" s="262" t="s">
        <v>138</v>
      </c>
      <c r="K86" s="263"/>
      <c r="L86" s="263"/>
      <c r="M86" s="263"/>
      <c r="N86" s="264"/>
      <c r="O86" s="139"/>
    </row>
    <row r="87" spans="1:16" ht="19.149999999999999" customHeight="1" x14ac:dyDescent="0.3">
      <c r="A87" s="303" t="s">
        <v>110</v>
      </c>
      <c r="B87" s="303"/>
      <c r="C87" s="305">
        <v>54</v>
      </c>
      <c r="D87" s="305"/>
      <c r="E87" s="6"/>
      <c r="F87" s="135"/>
      <c r="G87" s="135"/>
      <c r="H87" s="135"/>
      <c r="I87" s="135"/>
      <c r="J87" s="135"/>
      <c r="K87" s="135"/>
      <c r="L87" s="135"/>
      <c r="M87" s="135"/>
      <c r="N87" s="135"/>
      <c r="O87" s="138"/>
      <c r="P87" s="138"/>
    </row>
    <row r="88" spans="1:16" ht="19.149999999999999" customHeight="1" x14ac:dyDescent="0.25">
      <c r="A88" s="233" t="s">
        <v>0</v>
      </c>
      <c r="B88" s="238" t="s">
        <v>19</v>
      </c>
      <c r="C88" s="238" t="s">
        <v>8</v>
      </c>
      <c r="D88" s="238" t="s">
        <v>9</v>
      </c>
      <c r="E88" s="296" t="s">
        <v>11</v>
      </c>
      <c r="F88" s="297"/>
      <c r="G88" s="296" t="s">
        <v>13</v>
      </c>
      <c r="H88" s="297"/>
      <c r="I88" s="233" t="s">
        <v>16</v>
      </c>
      <c r="J88" s="233" t="s">
        <v>32</v>
      </c>
      <c r="K88" s="233" t="s">
        <v>33</v>
      </c>
      <c r="L88" s="233" t="s">
        <v>17</v>
      </c>
      <c r="M88" s="233" t="s">
        <v>34</v>
      </c>
      <c r="N88" s="233" t="s">
        <v>18</v>
      </c>
      <c r="O88" s="140"/>
    </row>
    <row r="89" spans="1:16" ht="19.149999999999999" customHeight="1" x14ac:dyDescent="0.25">
      <c r="A89" s="236"/>
      <c r="B89" s="239"/>
      <c r="C89" s="239"/>
      <c r="D89" s="239"/>
      <c r="E89" s="298"/>
      <c r="F89" s="299"/>
      <c r="G89" s="298"/>
      <c r="H89" s="299"/>
      <c r="I89" s="234"/>
      <c r="J89" s="234"/>
      <c r="K89" s="234"/>
      <c r="L89" s="234"/>
      <c r="M89" s="234"/>
      <c r="N89" s="236"/>
      <c r="O89" s="132"/>
    </row>
    <row r="90" spans="1:16" ht="19.149999999999999" customHeight="1" x14ac:dyDescent="0.25">
      <c r="A90" s="236"/>
      <c r="B90" s="239"/>
      <c r="C90" s="239"/>
      <c r="D90" s="239"/>
      <c r="E90" s="233" t="s">
        <v>10</v>
      </c>
      <c r="F90" s="233" t="s">
        <v>12</v>
      </c>
      <c r="G90" s="233" t="s">
        <v>14</v>
      </c>
      <c r="H90" s="233" t="s">
        <v>15</v>
      </c>
      <c r="I90" s="234"/>
      <c r="J90" s="234"/>
      <c r="K90" s="234"/>
      <c r="L90" s="234"/>
      <c r="M90" s="234"/>
      <c r="N90" s="236"/>
      <c r="O90" s="132"/>
    </row>
    <row r="91" spans="1:16" ht="19.149999999999999" customHeight="1" x14ac:dyDescent="0.25">
      <c r="A91" s="237"/>
      <c r="B91" s="240"/>
      <c r="C91" s="240"/>
      <c r="D91" s="240"/>
      <c r="E91" s="235"/>
      <c r="F91" s="235"/>
      <c r="G91" s="235"/>
      <c r="H91" s="235"/>
      <c r="I91" s="235"/>
      <c r="J91" s="235"/>
      <c r="K91" s="235"/>
      <c r="L91" s="235"/>
      <c r="M91" s="235"/>
      <c r="N91" s="237"/>
      <c r="O91" s="132"/>
    </row>
    <row r="92" spans="1:16" ht="18" customHeight="1" x14ac:dyDescent="0.25">
      <c r="A92" s="246" t="s">
        <v>42</v>
      </c>
      <c r="B92" s="247"/>
      <c r="C92" s="247"/>
      <c r="D92" s="247"/>
      <c r="E92" s="247"/>
      <c r="F92" s="247"/>
      <c r="G92" s="247"/>
      <c r="H92" s="247"/>
      <c r="I92" s="247"/>
      <c r="J92" s="247"/>
      <c r="K92" s="247"/>
      <c r="L92" s="247"/>
      <c r="M92" s="247"/>
      <c r="N92" s="248"/>
      <c r="O92" s="132"/>
    </row>
    <row r="93" spans="1:16" ht="18" customHeight="1" x14ac:dyDescent="0.25">
      <c r="A93" s="7">
        <v>1</v>
      </c>
      <c r="B93" s="8" t="s">
        <v>2</v>
      </c>
      <c r="C93" s="10">
        <f>L93/100*100</f>
        <v>70</v>
      </c>
      <c r="D93" s="11">
        <f>C93/100*60</f>
        <v>42</v>
      </c>
      <c r="E93" s="12">
        <f>C93/100*15</f>
        <v>10.5</v>
      </c>
      <c r="F93" s="12"/>
      <c r="G93" s="12"/>
      <c r="H93" s="12"/>
      <c r="I93" s="12"/>
      <c r="J93" s="56">
        <f>C93/100*387</f>
        <v>270.89999999999998</v>
      </c>
      <c r="K93" s="19">
        <f>C93/100*0.09</f>
        <v>6.3E-2</v>
      </c>
      <c r="L93" s="99">
        <v>70</v>
      </c>
      <c r="M93" s="17">
        <v>20</v>
      </c>
      <c r="N93" s="10">
        <f>L93*M93</f>
        <v>1400</v>
      </c>
      <c r="O93" s="3"/>
    </row>
    <row r="94" spans="1:16" ht="18" customHeight="1" x14ac:dyDescent="0.25">
      <c r="A94" s="7">
        <v>2</v>
      </c>
      <c r="B94" s="8" t="s">
        <v>121</v>
      </c>
      <c r="C94" s="10">
        <f>L94/100*100</f>
        <v>150</v>
      </c>
      <c r="D94" s="165">
        <f>C94/100*899</f>
        <v>1348.5</v>
      </c>
      <c r="E94" s="12"/>
      <c r="F94" s="12"/>
      <c r="G94" s="12">
        <f>C94/100*100</f>
        <v>150</v>
      </c>
      <c r="H94" s="12"/>
      <c r="I94" s="12"/>
      <c r="J94" s="12"/>
      <c r="K94" s="12"/>
      <c r="L94" s="99">
        <v>150</v>
      </c>
      <c r="M94" s="57">
        <v>68</v>
      </c>
      <c r="N94" s="10">
        <f t="shared" ref="N94:N95" si="4">L94*M94</f>
        <v>10200</v>
      </c>
      <c r="O94" s="141"/>
    </row>
    <row r="95" spans="1:16" ht="18" customHeight="1" x14ac:dyDescent="0.25">
      <c r="A95" s="7">
        <v>3</v>
      </c>
      <c r="B95" s="8" t="s">
        <v>126</v>
      </c>
      <c r="C95" s="10">
        <f>L95/100*100</f>
        <v>130</v>
      </c>
      <c r="D95" s="57">
        <f>C95/100*900</f>
        <v>1170</v>
      </c>
      <c r="E95" s="12"/>
      <c r="F95" s="12"/>
      <c r="G95" s="81"/>
      <c r="H95" s="12">
        <f>C95/100*100</f>
        <v>130</v>
      </c>
      <c r="I95" s="12"/>
      <c r="J95" s="12"/>
      <c r="K95" s="12"/>
      <c r="L95" s="99">
        <v>130</v>
      </c>
      <c r="M95" s="57">
        <v>63.5</v>
      </c>
      <c r="N95" s="83">
        <f t="shared" si="4"/>
        <v>8255</v>
      </c>
      <c r="O95" s="141"/>
    </row>
    <row r="96" spans="1:16" ht="18" customHeight="1" x14ac:dyDescent="0.25">
      <c r="A96" s="7">
        <v>4</v>
      </c>
      <c r="B96" s="4" t="s">
        <v>1</v>
      </c>
      <c r="C96" s="10">
        <f>L96/100*100</f>
        <v>2322</v>
      </c>
      <c r="D96" s="165">
        <f>C96/100*344</f>
        <v>7987.6799999999994</v>
      </c>
      <c r="E96" s="12"/>
      <c r="F96" s="12">
        <f>C96/100*7.9</f>
        <v>183.43799999999999</v>
      </c>
      <c r="G96" s="12"/>
      <c r="H96" s="12">
        <f>C96/100*1</f>
        <v>23.22</v>
      </c>
      <c r="I96" s="12">
        <f>C96/100*74</f>
        <v>1718.28</v>
      </c>
      <c r="J96" s="56">
        <f>C96/100*30</f>
        <v>696.59999999999991</v>
      </c>
      <c r="K96" s="19">
        <f>C96/100*0.1</f>
        <v>2.3220000000000001</v>
      </c>
      <c r="L96" s="99">
        <v>2322</v>
      </c>
      <c r="M96" s="17">
        <v>18</v>
      </c>
      <c r="N96" s="10">
        <f t="shared" ref="N96:N102" si="5">L96*M96</f>
        <v>41796</v>
      </c>
      <c r="O96" s="3"/>
    </row>
    <row r="97" spans="1:20" ht="18" customHeight="1" x14ac:dyDescent="0.25">
      <c r="A97" s="7">
        <v>5</v>
      </c>
      <c r="B97" s="4" t="s">
        <v>4</v>
      </c>
      <c r="C97" s="10">
        <f>L97/100*98</f>
        <v>617.4</v>
      </c>
      <c r="D97" s="11">
        <f>C97/100*118</f>
        <v>728.53199999999993</v>
      </c>
      <c r="E97" s="12">
        <f>C97/100*21</f>
        <v>129.654</v>
      </c>
      <c r="F97" s="12"/>
      <c r="G97" s="12">
        <f>C97/100*3.8</f>
        <v>23.461199999999998</v>
      </c>
      <c r="H97" s="12"/>
      <c r="I97" s="12">
        <f>C97/100*2.5</f>
        <v>15.434999999999999</v>
      </c>
      <c r="J97" s="18">
        <f>C97/100*12</f>
        <v>74.087999999999994</v>
      </c>
      <c r="K97" s="18">
        <f>C97/100*0.1</f>
        <v>0.61739999999999995</v>
      </c>
      <c r="L97" s="144">
        <v>630</v>
      </c>
      <c r="M97" s="38">
        <v>250</v>
      </c>
      <c r="N97" s="83">
        <f t="shared" si="5"/>
        <v>157500</v>
      </c>
      <c r="O97" s="146"/>
      <c r="Q97" s="2"/>
      <c r="R97" s="2"/>
    </row>
    <row r="98" spans="1:20" ht="18" customHeight="1" x14ac:dyDescent="0.25">
      <c r="A98" s="7">
        <v>6</v>
      </c>
      <c r="B98" s="8" t="s">
        <v>66</v>
      </c>
      <c r="C98" s="10">
        <f>L98/100*98</f>
        <v>656.6</v>
      </c>
      <c r="D98" s="11">
        <f>C98/100*139</f>
        <v>912.67399999999998</v>
      </c>
      <c r="E98" s="12">
        <f>C98/100*19</f>
        <v>124.75399999999999</v>
      </c>
      <c r="F98" s="12"/>
      <c r="G98" s="12">
        <f>C98/100*7</f>
        <v>45.961999999999996</v>
      </c>
      <c r="H98" s="12"/>
      <c r="I98" s="12"/>
      <c r="J98" s="19">
        <f>C98/100*7</f>
        <v>45.961999999999996</v>
      </c>
      <c r="K98" s="19">
        <f>C98/100*0.9</f>
        <v>5.9093999999999998</v>
      </c>
      <c r="L98" s="99">
        <v>670</v>
      </c>
      <c r="M98" s="13">
        <v>130</v>
      </c>
      <c r="N98" s="83">
        <f t="shared" si="5"/>
        <v>87100</v>
      </c>
      <c r="O98" s="3"/>
    </row>
    <row r="99" spans="1:20" ht="18" customHeight="1" x14ac:dyDescent="0.25">
      <c r="A99" s="7">
        <v>7</v>
      </c>
      <c r="B99" s="4" t="s">
        <v>117</v>
      </c>
      <c r="C99" s="10">
        <f>L99/100*100</f>
        <v>40</v>
      </c>
      <c r="D99" s="11">
        <f>C99/100*247</f>
        <v>98.800000000000011</v>
      </c>
      <c r="E99" s="14"/>
      <c r="F99" s="14">
        <f>C99/100*17.5</f>
        <v>7</v>
      </c>
      <c r="G99" s="14"/>
      <c r="H99" s="14">
        <f>C99/100*1.6</f>
        <v>0.64000000000000012</v>
      </c>
      <c r="I99" s="14">
        <f>C99/100*39.2</f>
        <v>15.680000000000001</v>
      </c>
      <c r="J99" s="18"/>
      <c r="K99" s="18"/>
      <c r="L99" s="144">
        <v>40</v>
      </c>
      <c r="M99" s="17">
        <v>50</v>
      </c>
      <c r="N99" s="10">
        <f t="shared" si="5"/>
        <v>2000</v>
      </c>
      <c r="O99" s="3"/>
      <c r="Q99" s="2"/>
      <c r="R99" s="2"/>
      <c r="S99" s="3"/>
      <c r="T99" s="2"/>
    </row>
    <row r="100" spans="1:20" ht="18" customHeight="1" x14ac:dyDescent="0.25">
      <c r="A100" s="7">
        <v>8</v>
      </c>
      <c r="B100" s="59" t="s">
        <v>62</v>
      </c>
      <c r="C100" s="10">
        <f>L100/100*89</f>
        <v>1691</v>
      </c>
      <c r="D100" s="165">
        <f>C100/100*154</f>
        <v>2604.14</v>
      </c>
      <c r="E100" s="12">
        <f>C100/100*13.1</f>
        <v>221.52099999999999</v>
      </c>
      <c r="F100" s="12"/>
      <c r="G100" s="12">
        <f>C100/100*11.1</f>
        <v>187.70099999999999</v>
      </c>
      <c r="H100" s="12"/>
      <c r="I100" s="12">
        <f>C100/100*0.4</f>
        <v>6.7640000000000002</v>
      </c>
      <c r="J100" s="56">
        <f>C100/100*64</f>
        <v>1082.24</v>
      </c>
      <c r="K100" s="19">
        <f>C100/100*0.13</f>
        <v>2.1983000000000001</v>
      </c>
      <c r="L100" s="99">
        <v>1900</v>
      </c>
      <c r="M100" s="37">
        <v>82</v>
      </c>
      <c r="N100" s="82">
        <f t="shared" si="5"/>
        <v>155800</v>
      </c>
      <c r="O100" s="3"/>
    </row>
    <row r="101" spans="1:20" ht="18" customHeight="1" x14ac:dyDescent="0.25">
      <c r="A101" s="7">
        <v>9</v>
      </c>
      <c r="B101" s="4" t="s">
        <v>20</v>
      </c>
      <c r="C101" s="10">
        <f>L101/100*95</f>
        <v>769.5</v>
      </c>
      <c r="D101" s="11">
        <f>C101/100*20</f>
        <v>153.9</v>
      </c>
      <c r="E101" s="12"/>
      <c r="F101" s="12">
        <f>C101/100*0.6</f>
        <v>4.617</v>
      </c>
      <c r="G101" s="12"/>
      <c r="H101" s="12">
        <f>C101/100*0.2</f>
        <v>1.5390000000000001</v>
      </c>
      <c r="I101" s="12">
        <f>C101/100*4</f>
        <v>30.78</v>
      </c>
      <c r="J101" s="18">
        <f>C101/100*12</f>
        <v>92.34</v>
      </c>
      <c r="K101" s="18">
        <f>C101/100*0.04</f>
        <v>0.30780000000000002</v>
      </c>
      <c r="L101" s="144">
        <v>810</v>
      </c>
      <c r="M101" s="13">
        <v>40</v>
      </c>
      <c r="N101" s="10">
        <f t="shared" si="5"/>
        <v>32400</v>
      </c>
      <c r="O101" s="3"/>
    </row>
    <row r="102" spans="1:20" ht="20.45" customHeight="1" x14ac:dyDescent="0.25">
      <c r="A102" s="7">
        <v>10</v>
      </c>
      <c r="B102" s="4" t="s">
        <v>161</v>
      </c>
      <c r="C102" s="10">
        <f>L102/100*90</f>
        <v>1368</v>
      </c>
      <c r="D102" s="11">
        <f>C102/100*29</f>
        <v>396.71999999999997</v>
      </c>
      <c r="E102" s="14"/>
      <c r="F102" s="14">
        <f>C102/100*1.8</f>
        <v>24.623999999999999</v>
      </c>
      <c r="G102" s="14"/>
      <c r="H102" s="14">
        <f>C102/100*0.1</f>
        <v>1.3680000000000001</v>
      </c>
      <c r="I102" s="14">
        <f>C102/100*5.3</f>
        <v>72.503999999999991</v>
      </c>
      <c r="J102" s="55">
        <f>C102/100*48</f>
        <v>656.64</v>
      </c>
      <c r="K102" s="18">
        <f>C102/100*0.05</f>
        <v>0.68400000000000005</v>
      </c>
      <c r="L102" s="143">
        <v>1520</v>
      </c>
      <c r="M102" s="13">
        <v>15</v>
      </c>
      <c r="N102" s="10">
        <f t="shared" si="5"/>
        <v>22800</v>
      </c>
      <c r="O102" s="3"/>
      <c r="Q102" s="2"/>
      <c r="R102" s="2"/>
      <c r="S102" s="3"/>
    </row>
    <row r="103" spans="1:20" ht="18" customHeight="1" x14ac:dyDescent="0.25">
      <c r="A103" s="7">
        <v>11</v>
      </c>
      <c r="B103" s="8" t="s">
        <v>111</v>
      </c>
      <c r="C103" s="10"/>
      <c r="D103" s="121"/>
      <c r="E103" s="12"/>
      <c r="F103" s="12"/>
      <c r="G103" s="12"/>
      <c r="H103" s="12"/>
      <c r="I103" s="12"/>
      <c r="J103" s="12"/>
      <c r="K103" s="12"/>
      <c r="L103" s="13"/>
      <c r="M103" s="13"/>
      <c r="N103" s="10">
        <v>3950</v>
      </c>
      <c r="O103" s="3"/>
    </row>
    <row r="104" spans="1:20" ht="18" customHeight="1" x14ac:dyDescent="0.25">
      <c r="A104" s="20" t="s">
        <v>104</v>
      </c>
      <c r="B104" s="21"/>
      <c r="C104" s="22"/>
      <c r="D104" s="166">
        <f>SUM(D93:D103)</f>
        <v>15442.945999999996</v>
      </c>
      <c r="E104" s="5"/>
      <c r="F104" s="5"/>
      <c r="G104" s="5"/>
      <c r="H104" s="5"/>
      <c r="I104" s="5"/>
      <c r="J104" s="5"/>
      <c r="K104" s="5"/>
      <c r="L104" s="28"/>
      <c r="M104" s="28"/>
      <c r="N104" s="215">
        <f>SUM(N93:N103)</f>
        <v>523201</v>
      </c>
      <c r="O104" s="3"/>
    </row>
    <row r="105" spans="1:20" ht="18" customHeight="1" x14ac:dyDescent="0.25">
      <c r="A105" s="20" t="s">
        <v>43</v>
      </c>
      <c r="B105" s="21"/>
      <c r="C105" s="29"/>
      <c r="D105" s="30">
        <f>D104/C87</f>
        <v>285.98048148148143</v>
      </c>
      <c r="E105" s="30"/>
      <c r="F105" s="30"/>
      <c r="G105" s="30"/>
      <c r="H105" s="30"/>
      <c r="I105" s="30"/>
      <c r="J105" s="30"/>
      <c r="K105" s="30"/>
      <c r="L105" s="28"/>
      <c r="M105" s="28"/>
      <c r="N105" s="216"/>
      <c r="O105" s="142"/>
    </row>
    <row r="106" spans="1:20" ht="18" customHeight="1" x14ac:dyDescent="0.25">
      <c r="A106" s="217" t="s">
        <v>44</v>
      </c>
      <c r="B106" s="218"/>
      <c r="C106" s="145" t="s">
        <v>132</v>
      </c>
      <c r="D106" s="26" t="s">
        <v>38</v>
      </c>
      <c r="E106" s="30"/>
      <c r="F106" s="30"/>
      <c r="G106" s="30"/>
      <c r="H106" s="30"/>
      <c r="I106" s="30"/>
      <c r="J106" s="31"/>
      <c r="K106" s="31"/>
      <c r="L106" s="28"/>
      <c r="M106" s="28"/>
      <c r="N106" s="137"/>
      <c r="O106" s="3"/>
    </row>
    <row r="107" spans="1:20" ht="18" customHeight="1" x14ac:dyDescent="0.25">
      <c r="A107" s="219"/>
      <c r="B107" s="220"/>
      <c r="C107" s="54" t="s">
        <v>58</v>
      </c>
      <c r="D107" s="26">
        <f>D105*100/930</f>
        <v>30.750589406610906</v>
      </c>
      <c r="E107" s="30"/>
      <c r="F107" s="30"/>
      <c r="G107" s="30"/>
      <c r="H107" s="30"/>
      <c r="I107" s="30"/>
      <c r="J107" s="31"/>
      <c r="K107" s="31"/>
      <c r="L107" s="28"/>
      <c r="M107" s="28"/>
      <c r="N107" s="137"/>
      <c r="O107" s="3"/>
    </row>
    <row r="108" spans="1:20" ht="18" customHeight="1" x14ac:dyDescent="0.3">
      <c r="A108" s="245" t="s">
        <v>45</v>
      </c>
      <c r="B108" s="245"/>
      <c r="C108" s="39"/>
      <c r="D108" s="40"/>
      <c r="E108" s="41"/>
      <c r="F108" s="41"/>
      <c r="G108" s="41"/>
      <c r="H108" s="41"/>
      <c r="I108" s="41"/>
      <c r="J108" s="41"/>
      <c r="K108" s="41"/>
      <c r="L108" s="42"/>
      <c r="M108" s="42"/>
      <c r="N108" s="39"/>
      <c r="O108" s="3"/>
    </row>
    <row r="109" spans="1:20" ht="18" customHeight="1" x14ac:dyDescent="0.25">
      <c r="A109" s="7">
        <v>1</v>
      </c>
      <c r="B109" s="8" t="s">
        <v>2</v>
      </c>
      <c r="C109" s="10">
        <f>L109/100*100</f>
        <v>60</v>
      </c>
      <c r="D109" s="11">
        <f>C109/100*60</f>
        <v>36</v>
      </c>
      <c r="E109" s="12">
        <f>C109/100*15</f>
        <v>9</v>
      </c>
      <c r="F109" s="12"/>
      <c r="G109" s="12"/>
      <c r="H109" s="12"/>
      <c r="I109" s="12"/>
      <c r="J109" s="56">
        <f>C109/100*387</f>
        <v>232.2</v>
      </c>
      <c r="K109" s="19">
        <f>C109/100*0.09</f>
        <v>5.3999999999999999E-2</v>
      </c>
      <c r="L109" s="99">
        <v>60</v>
      </c>
      <c r="M109" s="17">
        <v>20</v>
      </c>
      <c r="N109" s="10">
        <f>L109*M109</f>
        <v>1200</v>
      </c>
      <c r="O109" s="3"/>
    </row>
    <row r="110" spans="1:20" ht="18" customHeight="1" x14ac:dyDescent="0.25">
      <c r="A110" s="7">
        <v>2</v>
      </c>
      <c r="B110" s="8" t="s">
        <v>121</v>
      </c>
      <c r="C110" s="10">
        <f>L110/100*100</f>
        <v>100</v>
      </c>
      <c r="D110" s="11">
        <f>C110/100*899</f>
        <v>899</v>
      </c>
      <c r="E110" s="12"/>
      <c r="F110" s="12"/>
      <c r="G110" s="12">
        <f>C110/100*100</f>
        <v>100</v>
      </c>
      <c r="H110" s="12"/>
      <c r="I110" s="12"/>
      <c r="J110" s="12"/>
      <c r="K110" s="12"/>
      <c r="L110" s="13">
        <v>100</v>
      </c>
      <c r="M110" s="57">
        <v>68</v>
      </c>
      <c r="N110" s="10">
        <f t="shared" ref="N110" si="6">L110*M110</f>
        <v>6800</v>
      </c>
      <c r="O110" s="141"/>
    </row>
    <row r="111" spans="1:20" ht="18" customHeight="1" x14ac:dyDescent="0.25">
      <c r="A111" s="7">
        <v>3</v>
      </c>
      <c r="B111" s="8" t="s">
        <v>29</v>
      </c>
      <c r="C111" s="10">
        <f>L111/100*100</f>
        <v>60</v>
      </c>
      <c r="D111" s="11">
        <f>C111/100*390</f>
        <v>234</v>
      </c>
      <c r="E111" s="12"/>
      <c r="F111" s="12"/>
      <c r="G111" s="12"/>
      <c r="H111" s="12"/>
      <c r="I111" s="12">
        <f>C111/100*97.4</f>
        <v>58.44</v>
      </c>
      <c r="J111" s="56">
        <f>C111/100*178</f>
        <v>106.8</v>
      </c>
      <c r="K111" s="19">
        <f>C111/100*0.05</f>
        <v>0.03</v>
      </c>
      <c r="L111" s="99">
        <v>60</v>
      </c>
      <c r="M111" s="17">
        <v>25</v>
      </c>
      <c r="N111" s="10">
        <f t="shared" ref="N111:N117" si="7">L111*M111</f>
        <v>1500</v>
      </c>
      <c r="O111" s="146"/>
    </row>
    <row r="112" spans="1:20" ht="18" customHeight="1" x14ac:dyDescent="0.25">
      <c r="A112" s="7">
        <v>4</v>
      </c>
      <c r="B112" s="4" t="s">
        <v>1</v>
      </c>
      <c r="C112" s="10">
        <f>L112/100*100</f>
        <v>2268</v>
      </c>
      <c r="D112" s="57">
        <f>C112/100*344</f>
        <v>7801.92</v>
      </c>
      <c r="E112" s="12"/>
      <c r="F112" s="12">
        <f>C112/100*7.9</f>
        <v>179.172</v>
      </c>
      <c r="G112" s="12"/>
      <c r="H112" s="12">
        <f>C112/100*1</f>
        <v>22.68</v>
      </c>
      <c r="I112" s="12">
        <f>C112/100*74</f>
        <v>1678.32</v>
      </c>
      <c r="J112" s="56">
        <f>C112/100*30</f>
        <v>680.4</v>
      </c>
      <c r="K112" s="19">
        <f>C112/100*0.1</f>
        <v>2.2680000000000002</v>
      </c>
      <c r="L112" s="99">
        <v>2268</v>
      </c>
      <c r="M112" s="17">
        <v>18</v>
      </c>
      <c r="N112" s="10">
        <f t="shared" si="7"/>
        <v>40824</v>
      </c>
      <c r="O112" s="3"/>
    </row>
    <row r="113" spans="1:20" ht="18" customHeight="1" x14ac:dyDescent="0.25">
      <c r="A113" s="7">
        <v>5</v>
      </c>
      <c r="B113" s="4" t="s">
        <v>117</v>
      </c>
      <c r="C113" s="10">
        <f>L113/100*100</f>
        <v>40</v>
      </c>
      <c r="D113" s="11">
        <f>C113/100*247</f>
        <v>98.800000000000011</v>
      </c>
      <c r="E113" s="14"/>
      <c r="F113" s="14">
        <f>C113/100*17.5</f>
        <v>7</v>
      </c>
      <c r="G113" s="14"/>
      <c r="H113" s="14">
        <f>C113/100*1.6</f>
        <v>0.64000000000000012</v>
      </c>
      <c r="I113" s="14">
        <f>C113/100*39.2</f>
        <v>15.680000000000001</v>
      </c>
      <c r="J113" s="18"/>
      <c r="K113" s="18"/>
      <c r="L113" s="144">
        <v>40</v>
      </c>
      <c r="M113" s="17">
        <v>50</v>
      </c>
      <c r="N113" s="10">
        <f t="shared" si="7"/>
        <v>2000</v>
      </c>
      <c r="O113" s="3"/>
      <c r="Q113" s="2"/>
      <c r="R113" s="2"/>
      <c r="S113" s="3"/>
      <c r="T113" s="2"/>
    </row>
    <row r="114" spans="1:20" ht="18" customHeight="1" x14ac:dyDescent="0.25">
      <c r="A114" s="7">
        <v>7</v>
      </c>
      <c r="B114" s="4" t="s">
        <v>20</v>
      </c>
      <c r="C114" s="10">
        <f>L114/100*95</f>
        <v>778.99999999999989</v>
      </c>
      <c r="D114" s="11">
        <f>C114/100*20</f>
        <v>155.79999999999998</v>
      </c>
      <c r="E114" s="12"/>
      <c r="F114" s="12">
        <f>C114/100*0.6</f>
        <v>4.6739999999999995</v>
      </c>
      <c r="G114" s="12"/>
      <c r="H114" s="12">
        <f>C114/100*0.2</f>
        <v>1.5579999999999998</v>
      </c>
      <c r="I114" s="12">
        <f>C114/100*4</f>
        <v>31.159999999999997</v>
      </c>
      <c r="J114" s="18">
        <f>C114/100*12</f>
        <v>93.47999999999999</v>
      </c>
      <c r="K114" s="18">
        <f>C114/100*0.04</f>
        <v>0.31159999999999999</v>
      </c>
      <c r="L114" s="144">
        <v>820</v>
      </c>
      <c r="M114" s="13">
        <v>40</v>
      </c>
      <c r="N114" s="10">
        <f t="shared" si="7"/>
        <v>32800</v>
      </c>
      <c r="O114" s="3"/>
    </row>
    <row r="115" spans="1:20" ht="18" customHeight="1" x14ac:dyDescent="0.25">
      <c r="A115" s="7">
        <v>9</v>
      </c>
      <c r="B115" s="4" t="s">
        <v>5</v>
      </c>
      <c r="C115" s="10">
        <f>L115/100*98.5</f>
        <v>531.90000000000009</v>
      </c>
      <c r="D115" s="11">
        <f>C115/100*39</f>
        <v>207.44100000000003</v>
      </c>
      <c r="E115" s="14"/>
      <c r="F115" s="14">
        <f>C115/100*1.5</f>
        <v>7.9785000000000013</v>
      </c>
      <c r="G115" s="14"/>
      <c r="H115" s="14">
        <f>C115/100*0.2</f>
        <v>1.0638000000000003</v>
      </c>
      <c r="I115" s="14">
        <f>C115/100*7.8</f>
        <v>41.488200000000006</v>
      </c>
      <c r="J115" s="14">
        <f>C115/100*43</f>
        <v>228.71700000000004</v>
      </c>
      <c r="K115" s="14">
        <f>C115/100*0.06</f>
        <v>0.31914000000000003</v>
      </c>
      <c r="L115" s="144">
        <v>540</v>
      </c>
      <c r="M115" s="13">
        <v>17</v>
      </c>
      <c r="N115" s="10">
        <f t="shared" si="7"/>
        <v>9180</v>
      </c>
      <c r="O115" s="3"/>
      <c r="Q115" s="2"/>
      <c r="R115" s="2"/>
      <c r="S115" s="3"/>
    </row>
    <row r="116" spans="1:20" ht="18" customHeight="1" x14ac:dyDescent="0.25">
      <c r="A116" s="7">
        <v>9</v>
      </c>
      <c r="B116" s="4" t="s">
        <v>139</v>
      </c>
      <c r="C116" s="10">
        <f>L116/100*87</f>
        <v>1026.6000000000001</v>
      </c>
      <c r="D116" s="11">
        <f>C116/100*21</f>
        <v>215.58600000000004</v>
      </c>
      <c r="E116" s="14"/>
      <c r="F116" s="14">
        <f>C116/100*1.5</f>
        <v>15.399000000000003</v>
      </c>
      <c r="G116" s="14"/>
      <c r="H116" s="14">
        <f>C116/100*0.1</f>
        <v>1.0266000000000002</v>
      </c>
      <c r="I116" s="14">
        <f>C116/100*3.6</f>
        <v>36.957600000000006</v>
      </c>
      <c r="J116" s="14">
        <f>C116/100*40</f>
        <v>410.6400000000001</v>
      </c>
      <c r="K116" s="14">
        <f>C116/100*0.06</f>
        <v>0.61596000000000006</v>
      </c>
      <c r="L116" s="144">
        <v>1180</v>
      </c>
      <c r="M116" s="13">
        <v>18</v>
      </c>
      <c r="N116" s="10">
        <f t="shared" ref="N116" si="8">L116*M116</f>
        <v>21240</v>
      </c>
      <c r="O116" s="3"/>
      <c r="Q116" s="2"/>
      <c r="R116" s="2"/>
      <c r="S116" s="3"/>
    </row>
    <row r="117" spans="1:20" ht="18" customHeight="1" x14ac:dyDescent="0.25">
      <c r="A117" s="7">
        <v>8</v>
      </c>
      <c r="B117" s="8" t="s">
        <v>64</v>
      </c>
      <c r="C117" s="10">
        <f>L117/100*40</f>
        <v>1944</v>
      </c>
      <c r="D117" s="57">
        <f>C117/100*276</f>
        <v>5365.4400000000005</v>
      </c>
      <c r="E117" s="12">
        <f>C117/100*17.8</f>
        <v>346.03200000000004</v>
      </c>
      <c r="F117" s="12"/>
      <c r="G117" s="12">
        <f>C117/100*21.8</f>
        <v>423.79200000000003</v>
      </c>
      <c r="H117" s="12"/>
      <c r="I117" s="12"/>
      <c r="J117" s="56">
        <f>C117/100*13</f>
        <v>252.72000000000003</v>
      </c>
      <c r="K117" s="19">
        <f>C117/100*0.07</f>
        <v>1.3608000000000002</v>
      </c>
      <c r="L117" s="99">
        <v>4860</v>
      </c>
      <c r="M117" s="17">
        <v>63</v>
      </c>
      <c r="N117" s="83">
        <f t="shared" si="7"/>
        <v>306180</v>
      </c>
      <c r="O117" s="3"/>
    </row>
    <row r="118" spans="1:20" ht="18" customHeight="1" x14ac:dyDescent="0.25">
      <c r="A118" s="7">
        <v>9</v>
      </c>
      <c r="B118" s="8" t="s">
        <v>111</v>
      </c>
      <c r="C118" s="10"/>
      <c r="D118" s="11"/>
      <c r="E118" s="12"/>
      <c r="F118" s="12"/>
      <c r="G118" s="92"/>
      <c r="H118" s="92"/>
      <c r="I118" s="12"/>
      <c r="J118" s="12"/>
      <c r="K118" s="12"/>
      <c r="L118" s="13"/>
      <c r="M118" s="13"/>
      <c r="N118" s="10">
        <v>3950</v>
      </c>
      <c r="O118" s="3"/>
    </row>
    <row r="119" spans="1:20" ht="18" customHeight="1" x14ac:dyDescent="0.25">
      <c r="A119" s="20" t="s">
        <v>105</v>
      </c>
      <c r="B119" s="21"/>
      <c r="C119" s="22"/>
      <c r="D119" s="166">
        <f>SUM(D109:D118)</f>
        <v>15013.986999999999</v>
      </c>
      <c r="E119" s="5"/>
      <c r="F119" s="5"/>
      <c r="G119" s="5"/>
      <c r="H119" s="5"/>
      <c r="I119" s="5"/>
      <c r="J119" s="5"/>
      <c r="K119" s="5"/>
      <c r="L119" s="28"/>
      <c r="M119" s="28"/>
      <c r="N119" s="215">
        <f>SUM(N109:N118)</f>
        <v>425674</v>
      </c>
      <c r="O119" s="3"/>
    </row>
    <row r="120" spans="1:20" ht="18" customHeight="1" x14ac:dyDescent="0.25">
      <c r="A120" s="20" t="s">
        <v>46</v>
      </c>
      <c r="B120" s="21"/>
      <c r="C120" s="45"/>
      <c r="D120" s="31">
        <f>D119/C87</f>
        <v>278.0367962962963</v>
      </c>
      <c r="E120" s="31"/>
      <c r="F120" s="31"/>
      <c r="G120" s="31"/>
      <c r="H120" s="31"/>
      <c r="I120" s="31"/>
      <c r="J120" s="31"/>
      <c r="K120" s="31"/>
      <c r="L120" s="46"/>
      <c r="M120" s="28"/>
      <c r="N120" s="216"/>
      <c r="O120" s="142"/>
    </row>
    <row r="121" spans="1:20" ht="18" customHeight="1" x14ac:dyDescent="0.25">
      <c r="A121" s="217" t="s">
        <v>47</v>
      </c>
      <c r="B121" s="218"/>
      <c r="C121" s="145" t="s">
        <v>132</v>
      </c>
      <c r="D121" s="26" t="s">
        <v>48</v>
      </c>
      <c r="E121" s="30"/>
      <c r="F121" s="30"/>
      <c r="G121" s="30"/>
      <c r="H121" s="30"/>
      <c r="I121" s="30"/>
      <c r="J121" s="31"/>
      <c r="K121" s="31"/>
      <c r="L121" s="28"/>
      <c r="M121" s="28"/>
      <c r="N121" s="137"/>
      <c r="O121" s="142"/>
    </row>
    <row r="122" spans="1:20" ht="18" customHeight="1" x14ac:dyDescent="0.25">
      <c r="A122" s="219"/>
      <c r="B122" s="220"/>
      <c r="C122" s="54" t="s">
        <v>58</v>
      </c>
      <c r="D122" s="26">
        <f>D120*100/930</f>
        <v>29.896429709279172</v>
      </c>
      <c r="E122" s="30"/>
      <c r="F122" s="30"/>
      <c r="G122" s="30"/>
      <c r="H122" s="30"/>
      <c r="I122" s="30"/>
      <c r="J122" s="31"/>
      <c r="K122" s="31"/>
      <c r="L122" s="28"/>
      <c r="M122" s="28"/>
      <c r="N122" s="137"/>
      <c r="O122" s="142"/>
      <c r="Q122" s="128"/>
    </row>
    <row r="123" spans="1:20" ht="18" customHeight="1" x14ac:dyDescent="0.3">
      <c r="A123" s="245" t="s">
        <v>39</v>
      </c>
      <c r="B123" s="245"/>
      <c r="C123" s="47"/>
      <c r="D123" s="48"/>
      <c r="E123" s="48"/>
      <c r="F123" s="48"/>
      <c r="G123" s="48"/>
      <c r="H123" s="48"/>
      <c r="I123" s="48"/>
      <c r="J123" s="48"/>
      <c r="K123" s="48"/>
      <c r="L123" s="49"/>
      <c r="M123" s="49"/>
      <c r="N123" s="50"/>
      <c r="O123" s="142"/>
    </row>
    <row r="124" spans="1:20" ht="18" customHeight="1" x14ac:dyDescent="0.25">
      <c r="A124" s="107">
        <v>1</v>
      </c>
      <c r="B124" s="126" t="s">
        <v>130</v>
      </c>
      <c r="C124" s="22">
        <f>L124/100*100</f>
        <v>919.99999999999989</v>
      </c>
      <c r="D124" s="164">
        <f>C124/100*487</f>
        <v>4480.3999999999996</v>
      </c>
      <c r="E124" s="24"/>
      <c r="F124" s="24">
        <f>C124/100*19.5</f>
        <v>179.39999999999998</v>
      </c>
      <c r="G124" s="24"/>
      <c r="H124" s="24">
        <f>C124/100*23.2</f>
        <v>213.43999999999997</v>
      </c>
      <c r="I124" s="24">
        <f>C124/100*46</f>
        <v>423.2</v>
      </c>
      <c r="J124" s="109">
        <f>C124/100*680</f>
        <v>6255.9999999999991</v>
      </c>
      <c r="K124" s="24">
        <f>C124/100*0.55</f>
        <v>5.0599999999999996</v>
      </c>
      <c r="L124" s="25">
        <v>920</v>
      </c>
      <c r="M124" s="127">
        <v>260</v>
      </c>
      <c r="N124" s="129">
        <f t="shared" ref="N124" si="9">L124*M124</f>
        <v>239200</v>
      </c>
      <c r="O124" s="3"/>
      <c r="P124" s="2"/>
    </row>
    <row r="125" spans="1:20" ht="19.899999999999999" customHeight="1" x14ac:dyDescent="0.25">
      <c r="A125" s="233" t="s">
        <v>0</v>
      </c>
      <c r="B125" s="238" t="s">
        <v>19</v>
      </c>
      <c r="C125" s="238" t="s">
        <v>8</v>
      </c>
      <c r="D125" s="238" t="s">
        <v>9</v>
      </c>
      <c r="E125" s="296" t="s">
        <v>11</v>
      </c>
      <c r="F125" s="297"/>
      <c r="G125" s="296" t="s">
        <v>13</v>
      </c>
      <c r="H125" s="297"/>
      <c r="I125" s="233" t="s">
        <v>16</v>
      </c>
      <c r="J125" s="233" t="s">
        <v>32</v>
      </c>
      <c r="K125" s="233" t="s">
        <v>33</v>
      </c>
      <c r="L125" s="233" t="s">
        <v>17</v>
      </c>
      <c r="M125" s="233" t="s">
        <v>34</v>
      </c>
      <c r="N125" s="233" t="s">
        <v>18</v>
      </c>
      <c r="O125" s="140"/>
    </row>
    <row r="126" spans="1:20" ht="19.899999999999999" customHeight="1" x14ac:dyDescent="0.25">
      <c r="A126" s="236"/>
      <c r="B126" s="239"/>
      <c r="C126" s="239"/>
      <c r="D126" s="239"/>
      <c r="E126" s="298"/>
      <c r="F126" s="299"/>
      <c r="G126" s="298"/>
      <c r="H126" s="299"/>
      <c r="I126" s="234"/>
      <c r="J126" s="234"/>
      <c r="K126" s="234"/>
      <c r="L126" s="234"/>
      <c r="M126" s="234"/>
      <c r="N126" s="236"/>
      <c r="O126" s="132"/>
    </row>
    <row r="127" spans="1:20" ht="21" customHeight="1" x14ac:dyDescent="0.25">
      <c r="A127" s="236"/>
      <c r="B127" s="239"/>
      <c r="C127" s="239"/>
      <c r="D127" s="239"/>
      <c r="E127" s="233" t="s">
        <v>10</v>
      </c>
      <c r="F127" s="233" t="s">
        <v>12</v>
      </c>
      <c r="G127" s="233" t="s">
        <v>14</v>
      </c>
      <c r="H127" s="233" t="s">
        <v>15</v>
      </c>
      <c r="I127" s="234"/>
      <c r="J127" s="234"/>
      <c r="K127" s="234"/>
      <c r="L127" s="234"/>
      <c r="M127" s="234"/>
      <c r="N127" s="236"/>
      <c r="O127" s="132"/>
    </row>
    <row r="128" spans="1:20" ht="21" customHeight="1" x14ac:dyDescent="0.25">
      <c r="A128" s="237"/>
      <c r="B128" s="240"/>
      <c r="C128" s="240"/>
      <c r="D128" s="240"/>
      <c r="E128" s="235"/>
      <c r="F128" s="235"/>
      <c r="G128" s="235"/>
      <c r="H128" s="235"/>
      <c r="I128" s="235"/>
      <c r="J128" s="235"/>
      <c r="K128" s="235"/>
      <c r="L128" s="235"/>
      <c r="M128" s="235"/>
      <c r="N128" s="237"/>
      <c r="O128" s="132"/>
    </row>
    <row r="129" spans="1:22" ht="21" customHeight="1" x14ac:dyDescent="0.25">
      <c r="A129" s="214" t="s">
        <v>98</v>
      </c>
      <c r="B129" s="214"/>
      <c r="C129" s="22"/>
      <c r="D129" s="84">
        <f>SUM(D123:D124)</f>
        <v>4480.3999999999996</v>
      </c>
      <c r="E129" s="5"/>
      <c r="F129" s="5"/>
      <c r="G129" s="5"/>
      <c r="H129" s="5"/>
      <c r="I129" s="5"/>
      <c r="J129" s="5"/>
      <c r="K129" s="5"/>
      <c r="L129" s="28"/>
      <c r="M129" s="46"/>
      <c r="N129" s="215">
        <f>SUM(N123:N124)</f>
        <v>239200</v>
      </c>
      <c r="O129" s="3"/>
    </row>
    <row r="130" spans="1:22" ht="21" customHeight="1" x14ac:dyDescent="0.25">
      <c r="A130" s="214" t="s">
        <v>7</v>
      </c>
      <c r="B130" s="214"/>
      <c r="C130" s="29"/>
      <c r="D130" s="30">
        <f>D129/C87</f>
        <v>82.970370370370361</v>
      </c>
      <c r="E130" s="30"/>
      <c r="F130" s="30"/>
      <c r="G130" s="30"/>
      <c r="H130" s="30"/>
      <c r="I130" s="30"/>
      <c r="J130" s="30"/>
      <c r="K130" s="30"/>
      <c r="L130" s="28"/>
      <c r="M130" s="15"/>
      <c r="N130" s="216"/>
      <c r="O130" s="142"/>
    </row>
    <row r="131" spans="1:22" ht="21" customHeight="1" x14ac:dyDescent="0.25">
      <c r="A131" s="217" t="s">
        <v>40</v>
      </c>
      <c r="B131" s="218"/>
      <c r="C131" s="145" t="s">
        <v>132</v>
      </c>
      <c r="D131" s="26" t="s">
        <v>49</v>
      </c>
      <c r="E131" s="30"/>
      <c r="F131" s="30"/>
      <c r="G131" s="30"/>
      <c r="H131" s="30"/>
      <c r="I131" s="30"/>
      <c r="J131" s="31"/>
      <c r="K131" s="31"/>
      <c r="L131" s="28"/>
      <c r="M131" s="28"/>
      <c r="N131" s="137"/>
      <c r="O131" s="3"/>
    </row>
    <row r="132" spans="1:22" ht="21" customHeight="1" x14ac:dyDescent="0.25">
      <c r="A132" s="219"/>
      <c r="B132" s="220"/>
      <c r="C132" s="54" t="s">
        <v>58</v>
      </c>
      <c r="D132" s="26">
        <f>D130*100/930</f>
        <v>8.9215452011150926</v>
      </c>
      <c r="E132" s="30"/>
      <c r="F132" s="30"/>
      <c r="G132" s="30"/>
      <c r="H132" s="30"/>
      <c r="I132" s="30"/>
      <c r="J132" s="31"/>
      <c r="K132" s="31"/>
      <c r="L132" s="28"/>
      <c r="M132" s="28"/>
      <c r="N132" s="137"/>
      <c r="O132" s="3"/>
    </row>
    <row r="133" spans="1:22" ht="21" customHeight="1" x14ac:dyDescent="0.25">
      <c r="A133" s="221" t="s">
        <v>99</v>
      </c>
      <c r="B133" s="222"/>
      <c r="C133" s="225"/>
      <c r="D133" s="276">
        <f>D104+D119+D129</f>
        <v>34937.332999999999</v>
      </c>
      <c r="E133" s="5">
        <f>SUM(E93:E131)</f>
        <v>841.46100000000001</v>
      </c>
      <c r="F133" s="5">
        <f t="shared" ref="F133:H133" si="10">SUM(F93:F131)</f>
        <v>613.30250000000001</v>
      </c>
      <c r="G133" s="5">
        <f t="shared" si="10"/>
        <v>930.9162</v>
      </c>
      <c r="H133" s="5">
        <f t="shared" si="10"/>
        <v>397.17539999999991</v>
      </c>
      <c r="I133" s="229">
        <f>SUM(I93:I131)</f>
        <v>4144.6887999999999</v>
      </c>
      <c r="J133" s="231">
        <f>SUM(J93:J124)</f>
        <v>11179.726999999999</v>
      </c>
      <c r="K133" s="229">
        <f>SUM(K93:K124)</f>
        <v>22.121399999999998</v>
      </c>
      <c r="L133" s="193"/>
      <c r="M133" s="193"/>
      <c r="N133" s="194">
        <f>N104+N119+N129</f>
        <v>1188075</v>
      </c>
    </row>
    <row r="134" spans="1:22" ht="21" customHeight="1" x14ac:dyDescent="0.25">
      <c r="A134" s="223"/>
      <c r="B134" s="224"/>
      <c r="C134" s="226"/>
      <c r="D134" s="277"/>
      <c r="E134" s="195">
        <f>E133+F133</f>
        <v>1454.7635</v>
      </c>
      <c r="F134" s="196"/>
      <c r="G134" s="195">
        <f>G133+H133</f>
        <v>1328.0916</v>
      </c>
      <c r="H134" s="196"/>
      <c r="I134" s="230"/>
      <c r="J134" s="232"/>
      <c r="K134" s="230"/>
      <c r="L134" s="193"/>
      <c r="M134" s="193"/>
      <c r="N134" s="194"/>
    </row>
    <row r="135" spans="1:22" ht="21" customHeight="1" x14ac:dyDescent="0.25">
      <c r="A135" s="200" t="s">
        <v>75</v>
      </c>
      <c r="B135" s="201"/>
      <c r="C135" s="202"/>
      <c r="D135" s="119">
        <f>D133/C87</f>
        <v>646.98764814814808</v>
      </c>
      <c r="E135" s="96">
        <f>E133/C87</f>
        <v>15.582611111111111</v>
      </c>
      <c r="F135" s="95">
        <f>F133/C87</f>
        <v>11.357453703703705</v>
      </c>
      <c r="G135" s="96">
        <f>G133/C87</f>
        <v>17.23918888888889</v>
      </c>
      <c r="H135" s="95">
        <f>H133/C87</f>
        <v>7.3550999999999984</v>
      </c>
      <c r="I135" s="206">
        <f>I133/C87</f>
        <v>76.753496296296291</v>
      </c>
      <c r="J135" s="274">
        <f>J133/C87</f>
        <v>207.03198148148147</v>
      </c>
      <c r="K135" s="206">
        <f>K133/C87</f>
        <v>0.4096555555555555</v>
      </c>
      <c r="L135" s="193"/>
      <c r="M135" s="193"/>
      <c r="N135" s="194"/>
      <c r="P135" s="106"/>
      <c r="Q135" s="188"/>
      <c r="R135" s="188"/>
      <c r="S135" s="188"/>
      <c r="T135" s="188"/>
      <c r="U135" s="189"/>
      <c r="V135" s="189"/>
    </row>
    <row r="136" spans="1:22" ht="21" customHeight="1" x14ac:dyDescent="0.25">
      <c r="A136" s="203"/>
      <c r="B136" s="204"/>
      <c r="C136" s="205"/>
      <c r="D136" s="88"/>
      <c r="E136" s="190">
        <f>E135+F135</f>
        <v>26.940064814814818</v>
      </c>
      <c r="F136" s="191"/>
      <c r="G136" s="190">
        <f>G135+H135</f>
        <v>24.59428888888889</v>
      </c>
      <c r="H136" s="191"/>
      <c r="I136" s="207"/>
      <c r="J136" s="275"/>
      <c r="K136" s="207"/>
      <c r="L136" s="193"/>
      <c r="M136" s="193"/>
      <c r="N136" s="194"/>
      <c r="P136" s="154"/>
      <c r="Q136" s="188"/>
      <c r="R136" s="188"/>
      <c r="S136" s="192"/>
      <c r="T136" s="192"/>
      <c r="U136" s="188"/>
      <c r="V136" s="188"/>
    </row>
    <row r="137" spans="1:22" ht="21" customHeight="1" x14ac:dyDescent="0.25">
      <c r="A137" s="211" t="s">
        <v>76</v>
      </c>
      <c r="B137" s="212"/>
      <c r="C137" s="213"/>
      <c r="D137" s="136" t="s">
        <v>28</v>
      </c>
      <c r="E137" s="184" t="s">
        <v>24</v>
      </c>
      <c r="F137" s="184"/>
      <c r="G137" s="184" t="s">
        <v>25</v>
      </c>
      <c r="H137" s="184"/>
      <c r="I137" s="136" t="s">
        <v>26</v>
      </c>
      <c r="J137" s="133">
        <v>500</v>
      </c>
      <c r="K137" s="133">
        <v>0.59</v>
      </c>
      <c r="L137" s="193"/>
      <c r="M137" s="193"/>
      <c r="N137" s="194"/>
      <c r="O137" s="147"/>
      <c r="P137" s="106"/>
      <c r="Q137" s="106"/>
      <c r="R137" s="106"/>
      <c r="S137" s="106"/>
      <c r="T137" s="106"/>
      <c r="U137" s="106"/>
      <c r="V137" s="106"/>
    </row>
    <row r="138" spans="1:22" ht="21" customHeight="1" x14ac:dyDescent="0.25">
      <c r="A138" s="180" t="s">
        <v>69</v>
      </c>
      <c r="B138" s="185"/>
      <c r="C138" s="181"/>
      <c r="D138" s="16"/>
      <c r="E138" s="186">
        <f>E136*4.1</f>
        <v>110.45426574074074</v>
      </c>
      <c r="F138" s="187"/>
      <c r="G138" s="186">
        <f>G136*9</f>
        <v>221.3486</v>
      </c>
      <c r="H138" s="187"/>
      <c r="I138" s="60">
        <f>I135*4.1</f>
        <v>314.68933481481474</v>
      </c>
      <c r="J138" s="197"/>
      <c r="K138" s="197"/>
      <c r="L138" s="193"/>
      <c r="M138" s="193"/>
      <c r="N138" s="194"/>
      <c r="O138" s="147"/>
      <c r="P138" s="151"/>
      <c r="Q138" s="152"/>
      <c r="R138" s="152"/>
      <c r="S138" s="152"/>
      <c r="T138" s="106"/>
      <c r="U138" s="106"/>
      <c r="V138" s="106"/>
    </row>
    <row r="139" spans="1:22" ht="21" customHeight="1" x14ac:dyDescent="0.25">
      <c r="A139" s="176" t="s">
        <v>77</v>
      </c>
      <c r="B139" s="177"/>
      <c r="C139" s="180" t="s">
        <v>58</v>
      </c>
      <c r="D139" s="181"/>
      <c r="E139" s="266">
        <f>E138*100/D135</f>
        <v>17.072082605732959</v>
      </c>
      <c r="F139" s="267"/>
      <c r="G139" s="266">
        <f>G138*100/D135</f>
        <v>34.212183282564816</v>
      </c>
      <c r="H139" s="267"/>
      <c r="I139" s="76">
        <f>I138*100/D135</f>
        <v>48.639156514894822</v>
      </c>
      <c r="J139" s="198"/>
      <c r="K139" s="198"/>
      <c r="L139" s="193"/>
      <c r="M139" s="193"/>
      <c r="N139" s="194"/>
      <c r="O139" s="147"/>
      <c r="P139" s="106"/>
      <c r="Q139" s="153"/>
      <c r="R139" s="106"/>
      <c r="S139" s="106"/>
      <c r="T139" s="106"/>
      <c r="U139" s="106"/>
      <c r="V139" s="106"/>
    </row>
    <row r="140" spans="1:22" ht="21" customHeight="1" x14ac:dyDescent="0.25">
      <c r="A140" s="178"/>
      <c r="B140" s="179"/>
      <c r="C140" s="180" t="s">
        <v>71</v>
      </c>
      <c r="D140" s="181"/>
      <c r="E140" s="180" t="s">
        <v>72</v>
      </c>
      <c r="F140" s="181"/>
      <c r="G140" s="180" t="s">
        <v>78</v>
      </c>
      <c r="H140" s="181"/>
      <c r="I140" s="136" t="s">
        <v>79</v>
      </c>
      <c r="J140" s="199"/>
      <c r="K140" s="199"/>
      <c r="L140" s="193"/>
      <c r="M140" s="193"/>
      <c r="N140" s="194"/>
      <c r="O140" s="147"/>
      <c r="P140" s="2"/>
    </row>
    <row r="141" spans="1:22" ht="21" customHeight="1" x14ac:dyDescent="0.25">
      <c r="A141" s="63"/>
      <c r="B141" s="64"/>
      <c r="C141" s="63"/>
      <c r="D141" s="63"/>
      <c r="E141" s="63"/>
      <c r="F141" s="63"/>
      <c r="G141" s="63"/>
      <c r="H141" s="63"/>
      <c r="I141" s="63"/>
      <c r="J141" s="63"/>
      <c r="K141" s="63"/>
      <c r="L141" s="65"/>
      <c r="M141" s="65"/>
      <c r="N141" s="66"/>
      <c r="O141" s="147"/>
    </row>
    <row r="142" spans="1:22" ht="21" customHeight="1" x14ac:dyDescent="0.25">
      <c r="A142" s="172" t="s">
        <v>100</v>
      </c>
      <c r="B142" s="172"/>
      <c r="C142" s="172"/>
      <c r="D142" s="172"/>
      <c r="E142" s="172"/>
      <c r="F142" s="172"/>
      <c r="G142" s="172"/>
      <c r="H142" s="172"/>
      <c r="I142" s="172"/>
      <c r="J142" s="172"/>
      <c r="K142" s="172"/>
      <c r="L142" s="172"/>
      <c r="M142" s="172"/>
      <c r="N142" s="172"/>
      <c r="O142" s="147"/>
    </row>
    <row r="143" spans="1:22" ht="21" customHeight="1" x14ac:dyDescent="0.25">
      <c r="A143" s="77" t="s">
        <v>101</v>
      </c>
      <c r="B143" s="173" t="s">
        <v>102</v>
      </c>
      <c r="C143" s="173"/>
      <c r="D143" s="173"/>
      <c r="E143" s="173"/>
      <c r="F143" s="173"/>
      <c r="G143" s="173"/>
      <c r="H143" s="173"/>
      <c r="I143" s="173"/>
      <c r="J143" s="173"/>
      <c r="K143" s="173"/>
      <c r="L143" s="173"/>
      <c r="M143" s="173"/>
      <c r="N143" s="173"/>
      <c r="O143" s="147"/>
    </row>
    <row r="144" spans="1:22" ht="21" customHeight="1" x14ac:dyDescent="0.25">
      <c r="A144" s="78"/>
      <c r="B144" s="174" t="s">
        <v>180</v>
      </c>
      <c r="C144" s="174"/>
      <c r="D144" s="174"/>
      <c r="E144" s="174"/>
      <c r="F144" s="174"/>
      <c r="G144" s="174"/>
      <c r="H144" s="174"/>
      <c r="I144" s="174"/>
      <c r="J144" s="174"/>
      <c r="K144" s="174"/>
      <c r="L144" s="174"/>
      <c r="M144" s="174"/>
      <c r="N144" s="174"/>
      <c r="O144" s="147"/>
    </row>
    <row r="145" spans="1:15" ht="21" customHeight="1" x14ac:dyDescent="0.25">
      <c r="A145" s="78"/>
      <c r="B145" s="174" t="s">
        <v>181</v>
      </c>
      <c r="C145" s="174"/>
      <c r="D145" s="174"/>
      <c r="E145" s="174"/>
      <c r="F145" s="174"/>
      <c r="G145" s="174"/>
      <c r="H145" s="174"/>
      <c r="I145" s="174"/>
      <c r="J145" s="174"/>
      <c r="K145" s="174"/>
      <c r="L145" s="174"/>
      <c r="M145" s="174"/>
      <c r="N145" s="174"/>
      <c r="O145" s="147"/>
    </row>
    <row r="146" spans="1:15" ht="21" customHeight="1" x14ac:dyDescent="0.25">
      <c r="A146" s="78"/>
      <c r="B146" s="174" t="s">
        <v>182</v>
      </c>
      <c r="C146" s="174"/>
      <c r="D146" s="174"/>
      <c r="E146" s="174"/>
      <c r="F146" s="174"/>
      <c r="G146" s="174"/>
      <c r="H146" s="174"/>
      <c r="I146" s="174"/>
      <c r="J146" s="174"/>
      <c r="K146" s="174"/>
      <c r="L146" s="174"/>
      <c r="M146" s="174"/>
      <c r="N146" s="174"/>
      <c r="O146" s="147"/>
    </row>
    <row r="147" spans="1:15" ht="21" customHeight="1" x14ac:dyDescent="0.25">
      <c r="A147" s="63"/>
      <c r="B147" s="175" t="s">
        <v>107</v>
      </c>
      <c r="C147" s="175"/>
      <c r="D147" s="175"/>
      <c r="E147" s="175"/>
      <c r="F147" s="175"/>
      <c r="G147" s="175"/>
      <c r="H147" s="175"/>
      <c r="I147" s="175"/>
      <c r="J147" s="175"/>
      <c r="K147" s="175"/>
      <c r="L147" s="175"/>
      <c r="M147" s="175"/>
      <c r="N147" s="175"/>
      <c r="O147" s="147"/>
    </row>
    <row r="148" spans="1:15" ht="21" customHeight="1" x14ac:dyDescent="0.25">
      <c r="A148" s="63"/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79"/>
      <c r="M148" s="79"/>
      <c r="N148" s="80"/>
      <c r="O148" s="147"/>
    </row>
    <row r="149" spans="1:15" ht="21" customHeight="1" x14ac:dyDescent="0.25">
      <c r="A149" s="168" t="s">
        <v>60</v>
      </c>
      <c r="B149" s="168"/>
      <c r="C149" s="168"/>
      <c r="D149" s="168"/>
      <c r="E149" s="148"/>
      <c r="F149" s="148"/>
      <c r="G149" s="148"/>
      <c r="H149" s="148"/>
      <c r="I149" s="148"/>
      <c r="J149" s="169" t="s">
        <v>36</v>
      </c>
      <c r="K149" s="169"/>
      <c r="L149" s="169"/>
      <c r="M149" s="169"/>
      <c r="N149" s="169"/>
      <c r="O149" s="147"/>
    </row>
    <row r="150" spans="1:15" ht="21" customHeight="1" x14ac:dyDescent="0.25">
      <c r="A150" s="132"/>
      <c r="B150" s="132"/>
      <c r="C150" s="132"/>
      <c r="D150" s="148"/>
      <c r="E150" s="148"/>
      <c r="F150" s="148"/>
      <c r="G150" s="148"/>
      <c r="H150" s="149"/>
      <c r="I150" s="149"/>
      <c r="J150" s="149"/>
      <c r="K150" s="149"/>
      <c r="L150" s="149"/>
      <c r="M150" s="149"/>
      <c r="N150" s="149"/>
      <c r="O150" s="147"/>
    </row>
    <row r="151" spans="1:15" ht="21" customHeight="1" x14ac:dyDescent="0.25">
      <c r="A151" s="132"/>
      <c r="B151" s="132"/>
      <c r="C151" s="132"/>
      <c r="D151" s="148"/>
      <c r="E151" s="148"/>
      <c r="F151" s="148"/>
      <c r="G151" s="148"/>
      <c r="H151" s="149"/>
      <c r="I151" s="149"/>
      <c r="J151" s="149"/>
      <c r="K151" s="149"/>
      <c r="L151" s="149"/>
      <c r="M151" s="149"/>
      <c r="N151" s="149"/>
      <c r="O151" s="147"/>
    </row>
    <row r="152" spans="1:15" ht="21" customHeight="1" x14ac:dyDescent="0.25">
      <c r="A152" s="171" t="s">
        <v>84</v>
      </c>
      <c r="B152" s="171"/>
      <c r="C152" s="171"/>
      <c r="D152" s="171"/>
      <c r="E152" s="148"/>
      <c r="F152" s="148"/>
      <c r="G152" s="148"/>
      <c r="H152" s="149"/>
      <c r="I152" s="149"/>
      <c r="J152" s="170" t="s">
        <v>103</v>
      </c>
      <c r="K152" s="170"/>
      <c r="L152" s="170"/>
      <c r="M152" s="170"/>
      <c r="N152" s="170"/>
      <c r="O152" s="147"/>
    </row>
    <row r="155" spans="1:15" ht="21" customHeight="1" x14ac:dyDescent="0.25">
      <c r="J155" s="170" t="s">
        <v>114</v>
      </c>
      <c r="K155" s="170"/>
      <c r="L155" s="170"/>
      <c r="M155" s="170"/>
      <c r="N155" s="170"/>
    </row>
  </sheetData>
  <mergeCells count="206">
    <mergeCell ref="J155:N155"/>
    <mergeCell ref="A152:D152"/>
    <mergeCell ref="J152:N152"/>
    <mergeCell ref="Q135:R135"/>
    <mergeCell ref="S135:T135"/>
    <mergeCell ref="U135:V135"/>
    <mergeCell ref="Q136:R136"/>
    <mergeCell ref="S136:T136"/>
    <mergeCell ref="U136:V136"/>
    <mergeCell ref="A137:C137"/>
    <mergeCell ref="A138:C138"/>
    <mergeCell ref="J138:J140"/>
    <mergeCell ref="K138:K140"/>
    <mergeCell ref="A139:B140"/>
    <mergeCell ref="C139:D139"/>
    <mergeCell ref="E139:F139"/>
    <mergeCell ref="G139:H139"/>
    <mergeCell ref="C140:D140"/>
    <mergeCell ref="E140:F140"/>
    <mergeCell ref="G140:H140"/>
    <mergeCell ref="B143:N143"/>
    <mergeCell ref="B144:N144"/>
    <mergeCell ref="B145:N145"/>
    <mergeCell ref="A142:N142"/>
    <mergeCell ref="B146:N146"/>
    <mergeCell ref="N129:N130"/>
    <mergeCell ref="A130:B130"/>
    <mergeCell ref="A133:B134"/>
    <mergeCell ref="C133:C134"/>
    <mergeCell ref="D133:D134"/>
    <mergeCell ref="L133:L140"/>
    <mergeCell ref="M133:M140"/>
    <mergeCell ref="N133:N140"/>
    <mergeCell ref="A135:C136"/>
    <mergeCell ref="I135:I136"/>
    <mergeCell ref="J135:J136"/>
    <mergeCell ref="K135:K136"/>
    <mergeCell ref="G136:H136"/>
    <mergeCell ref="E136:F136"/>
    <mergeCell ref="E137:F137"/>
    <mergeCell ref="G137:H137"/>
    <mergeCell ref="E138:F138"/>
    <mergeCell ref="G138:H138"/>
    <mergeCell ref="I133:I134"/>
    <mergeCell ref="E134:F134"/>
    <mergeCell ref="G134:H134"/>
    <mergeCell ref="N119:N120"/>
    <mergeCell ref="A121:B122"/>
    <mergeCell ref="A123:B123"/>
    <mergeCell ref="A125:A128"/>
    <mergeCell ref="B125:B128"/>
    <mergeCell ref="C125:C128"/>
    <mergeCell ref="D125:D128"/>
    <mergeCell ref="E125:F126"/>
    <mergeCell ref="G125:H126"/>
    <mergeCell ref="I125:I128"/>
    <mergeCell ref="J125:J128"/>
    <mergeCell ref="K125:K128"/>
    <mergeCell ref="L125:L128"/>
    <mergeCell ref="M125:M128"/>
    <mergeCell ref="N125:N128"/>
    <mergeCell ref="E127:E128"/>
    <mergeCell ref="F127:F128"/>
    <mergeCell ref="G127:G128"/>
    <mergeCell ref="H127:H128"/>
    <mergeCell ref="C87:D87"/>
    <mergeCell ref="L41:L44"/>
    <mergeCell ref="A53:C53"/>
    <mergeCell ref="A46:B46"/>
    <mergeCell ref="F43:F44"/>
    <mergeCell ref="G43:G44"/>
    <mergeCell ref="H43:H44"/>
    <mergeCell ref="L49:L56"/>
    <mergeCell ref="A82:D83"/>
    <mergeCell ref="E84:I86"/>
    <mergeCell ref="A41:A44"/>
    <mergeCell ref="B41:B44"/>
    <mergeCell ref="C41:C44"/>
    <mergeCell ref="D41:D44"/>
    <mergeCell ref="G53:H53"/>
    <mergeCell ref="B62:N62"/>
    <mergeCell ref="B63:N63"/>
    <mergeCell ref="A65:D65"/>
    <mergeCell ref="J65:N65"/>
    <mergeCell ref="A69:D69"/>
    <mergeCell ref="J71:N71"/>
    <mergeCell ref="J83:N83"/>
    <mergeCell ref="A84:D84"/>
    <mergeCell ref="B61:N61"/>
    <mergeCell ref="C8:D8"/>
    <mergeCell ref="J9:J12"/>
    <mergeCell ref="U52:V52"/>
    <mergeCell ref="U53:V53"/>
    <mergeCell ref="S52:T52"/>
    <mergeCell ref="Q53:R53"/>
    <mergeCell ref="S53:T53"/>
    <mergeCell ref="A88:A91"/>
    <mergeCell ref="B88:B91"/>
    <mergeCell ref="C88:C91"/>
    <mergeCell ref="H90:H91"/>
    <mergeCell ref="J88:J91"/>
    <mergeCell ref="K88:K91"/>
    <mergeCell ref="M88:M91"/>
    <mergeCell ref="D88:D91"/>
    <mergeCell ref="E83:I83"/>
    <mergeCell ref="G56:H56"/>
    <mergeCell ref="A85:D85"/>
    <mergeCell ref="A51:C52"/>
    <mergeCell ref="E55:F55"/>
    <mergeCell ref="G55:H55"/>
    <mergeCell ref="C56:D56"/>
    <mergeCell ref="E56:F56"/>
    <mergeCell ref="A87:B87"/>
    <mergeCell ref="Q52:R52"/>
    <mergeCell ref="G88:H89"/>
    <mergeCell ref="J68:N68"/>
    <mergeCell ref="A3:D3"/>
    <mergeCell ref="E3:N3"/>
    <mergeCell ref="A4:D4"/>
    <mergeCell ref="E4:I7"/>
    <mergeCell ref="J4:N7"/>
    <mergeCell ref="A5:D5"/>
    <mergeCell ref="A7:D7"/>
    <mergeCell ref="C9:C12"/>
    <mergeCell ref="E41:F42"/>
    <mergeCell ref="G41:H42"/>
    <mergeCell ref="D9:D12"/>
    <mergeCell ref="M41:M44"/>
    <mergeCell ref="F11:F12"/>
    <mergeCell ref="G11:G12"/>
    <mergeCell ref="H11:H12"/>
    <mergeCell ref="E9:F10"/>
    <mergeCell ref="G9:H10"/>
    <mergeCell ref="I41:I44"/>
    <mergeCell ref="N41:N44"/>
    <mergeCell ref="E43:E44"/>
    <mergeCell ref="K9:K12"/>
    <mergeCell ref="F1:N1"/>
    <mergeCell ref="F80:N80"/>
    <mergeCell ref="J41:J44"/>
    <mergeCell ref="A29:B30"/>
    <mergeCell ref="A31:B31"/>
    <mergeCell ref="A45:B45"/>
    <mergeCell ref="A47:B48"/>
    <mergeCell ref="A106:B107"/>
    <mergeCell ref="A108:B108"/>
    <mergeCell ref="K41:K44"/>
    <mergeCell ref="A86:D86"/>
    <mergeCell ref="A9:A12"/>
    <mergeCell ref="L9:L12"/>
    <mergeCell ref="N9:N12"/>
    <mergeCell ref="N104:N105"/>
    <mergeCell ref="A13:N13"/>
    <mergeCell ref="I49:I50"/>
    <mergeCell ref="E50:F50"/>
    <mergeCell ref="G50:H50"/>
    <mergeCell ref="A49:B50"/>
    <mergeCell ref="C49:C50"/>
    <mergeCell ref="D49:D50"/>
    <mergeCell ref="N27:N28"/>
    <mergeCell ref="A8:B8"/>
    <mergeCell ref="M9:M12"/>
    <mergeCell ref="J49:J50"/>
    <mergeCell ref="I9:I12"/>
    <mergeCell ref="E11:E12"/>
    <mergeCell ref="B9:B12"/>
    <mergeCell ref="J51:J52"/>
    <mergeCell ref="K51:K52"/>
    <mergeCell ref="I51:I52"/>
    <mergeCell ref="E52:F52"/>
    <mergeCell ref="G52:H52"/>
    <mergeCell ref="K49:K50"/>
    <mergeCell ref="M49:M56"/>
    <mergeCell ref="N49:N56"/>
    <mergeCell ref="N45:N46"/>
    <mergeCell ref="A54:C54"/>
    <mergeCell ref="E54:F54"/>
    <mergeCell ref="G54:H54"/>
    <mergeCell ref="J54:J56"/>
    <mergeCell ref="K54:K56"/>
    <mergeCell ref="A55:B56"/>
    <mergeCell ref="C55:D55"/>
    <mergeCell ref="A6:D6"/>
    <mergeCell ref="B147:N147"/>
    <mergeCell ref="A149:D149"/>
    <mergeCell ref="J149:N149"/>
    <mergeCell ref="N88:N91"/>
    <mergeCell ref="E90:E91"/>
    <mergeCell ref="F90:F91"/>
    <mergeCell ref="G90:G91"/>
    <mergeCell ref="E53:F53"/>
    <mergeCell ref="E88:F89"/>
    <mergeCell ref="I88:I91"/>
    <mergeCell ref="J84:N84"/>
    <mergeCell ref="J85:N85"/>
    <mergeCell ref="J86:N86"/>
    <mergeCell ref="A92:N92"/>
    <mergeCell ref="L88:L91"/>
    <mergeCell ref="E82:N82"/>
    <mergeCell ref="K133:K134"/>
    <mergeCell ref="J133:J134"/>
    <mergeCell ref="A131:B132"/>
    <mergeCell ref="A129:B129"/>
    <mergeCell ref="A58:N58"/>
    <mergeCell ref="B59:N59"/>
    <mergeCell ref="B60:N60"/>
  </mergeCells>
  <pageMargins left="0.23333333333333334" right="0.1" top="0.42708333333333331" bottom="0.39583333333333331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59"/>
  <sheetViews>
    <sheetView workbookViewId="0">
      <selection activeCell="O148" sqref="O148"/>
    </sheetView>
  </sheetViews>
  <sheetFormatPr defaultColWidth="9.140625" defaultRowHeight="21" customHeight="1" x14ac:dyDescent="0.25"/>
  <cols>
    <col min="1" max="1" width="4" style="1" customWidth="1"/>
    <col min="2" max="2" width="11" style="1" customWidth="1"/>
    <col min="3" max="3" width="7.140625" style="1" customWidth="1"/>
    <col min="4" max="4" width="7.28515625" style="1" customWidth="1"/>
    <col min="5" max="8" width="6.85546875" style="1" customWidth="1"/>
    <col min="9" max="10" width="7.5703125" style="1" customWidth="1"/>
    <col min="11" max="11" width="7.28515625" style="1" customWidth="1"/>
    <col min="12" max="12" width="6.28515625" style="1" customWidth="1"/>
    <col min="13" max="13" width="6.7109375" style="1" customWidth="1"/>
    <col min="14" max="14" width="8.42578125" style="1" customWidth="1"/>
    <col min="15" max="15" width="11.85546875" style="1" customWidth="1"/>
    <col min="16" max="16" width="9.140625" style="1"/>
    <col min="17" max="22" width="8.85546875" style="1" customWidth="1"/>
    <col min="23" max="16384" width="9.140625" style="1"/>
  </cols>
  <sheetData>
    <row r="1" spans="1:16" ht="19.149999999999999" customHeight="1" x14ac:dyDescent="0.3">
      <c r="A1" s="9" t="s">
        <v>59</v>
      </c>
      <c r="B1" s="6"/>
      <c r="C1" s="6"/>
      <c r="D1" s="6"/>
      <c r="E1" s="6"/>
      <c r="F1" s="265" t="s">
        <v>30</v>
      </c>
      <c r="G1" s="265"/>
      <c r="H1" s="265"/>
      <c r="I1" s="265"/>
      <c r="J1" s="265"/>
      <c r="K1" s="265"/>
      <c r="L1" s="265"/>
      <c r="M1" s="265"/>
      <c r="N1" s="265"/>
      <c r="O1" s="138"/>
      <c r="P1" s="138"/>
    </row>
    <row r="2" spans="1:16" ht="9.6" customHeight="1" x14ac:dyDescent="0.3">
      <c r="A2" s="9"/>
      <c r="B2" s="6"/>
      <c r="C2" s="6"/>
      <c r="D2" s="6"/>
      <c r="E2" s="6"/>
      <c r="F2" s="135"/>
      <c r="G2" s="135"/>
      <c r="H2" s="135"/>
      <c r="I2" s="135"/>
      <c r="J2" s="135"/>
      <c r="K2" s="135"/>
      <c r="L2" s="135"/>
      <c r="M2" s="135"/>
      <c r="N2" s="135"/>
      <c r="O2" s="138"/>
      <c r="P2" s="138"/>
    </row>
    <row r="3" spans="1:16" ht="19.149999999999999" customHeight="1" x14ac:dyDescent="0.3">
      <c r="A3" s="6" t="s">
        <v>186</v>
      </c>
      <c r="B3" s="6"/>
      <c r="C3" s="6"/>
      <c r="D3" s="6"/>
      <c r="E3" s="6"/>
      <c r="F3" s="135"/>
      <c r="G3" s="135"/>
      <c r="H3" s="135"/>
      <c r="I3" s="135"/>
      <c r="J3" s="135"/>
      <c r="K3" s="135"/>
      <c r="L3" s="135"/>
      <c r="M3" s="135"/>
      <c r="N3" s="135"/>
      <c r="O3" s="138"/>
      <c r="P3" s="138"/>
    </row>
    <row r="4" spans="1:16" ht="9.6" customHeight="1" x14ac:dyDescent="0.3">
      <c r="A4" s="6"/>
      <c r="B4" s="6"/>
      <c r="C4" s="6"/>
      <c r="D4" s="6"/>
      <c r="E4" s="6"/>
      <c r="F4" s="135"/>
      <c r="G4" s="135"/>
      <c r="H4" s="135"/>
      <c r="I4" s="135"/>
      <c r="J4" s="135"/>
      <c r="K4" s="135"/>
      <c r="L4" s="135"/>
      <c r="M4" s="135"/>
      <c r="N4" s="135"/>
      <c r="O4" s="138"/>
      <c r="P4" s="138"/>
    </row>
    <row r="5" spans="1:16" ht="20.45" customHeight="1" x14ac:dyDescent="0.25">
      <c r="A5" s="184" t="s">
        <v>81</v>
      </c>
      <c r="B5" s="184"/>
      <c r="C5" s="184"/>
      <c r="D5" s="184"/>
      <c r="E5" s="184" t="s">
        <v>93</v>
      </c>
      <c r="F5" s="184"/>
      <c r="G5" s="184"/>
      <c r="H5" s="184"/>
      <c r="I5" s="184"/>
      <c r="J5" s="184"/>
      <c r="K5" s="184"/>
      <c r="L5" s="184"/>
      <c r="M5" s="184"/>
      <c r="N5" s="184"/>
      <c r="O5" s="139"/>
    </row>
    <row r="6" spans="1:16" ht="20.45" customHeight="1" x14ac:dyDescent="0.25">
      <c r="A6" s="252" t="s">
        <v>83</v>
      </c>
      <c r="B6" s="252"/>
      <c r="C6" s="252"/>
      <c r="D6" s="252"/>
      <c r="E6" s="253" t="s">
        <v>154</v>
      </c>
      <c r="F6" s="253"/>
      <c r="G6" s="253"/>
      <c r="H6" s="253"/>
      <c r="I6" s="253"/>
      <c r="J6" s="284" t="s">
        <v>155</v>
      </c>
      <c r="K6" s="285"/>
      <c r="L6" s="285"/>
      <c r="M6" s="285"/>
      <c r="N6" s="286"/>
      <c r="O6" s="139"/>
    </row>
    <row r="7" spans="1:16" ht="20.45" customHeight="1" x14ac:dyDescent="0.25">
      <c r="A7" s="308" t="s">
        <v>141</v>
      </c>
      <c r="B7" s="309"/>
      <c r="C7" s="309"/>
      <c r="D7" s="310"/>
      <c r="E7" s="253"/>
      <c r="F7" s="253"/>
      <c r="G7" s="253"/>
      <c r="H7" s="253"/>
      <c r="I7" s="253"/>
      <c r="J7" s="287"/>
      <c r="K7" s="288"/>
      <c r="L7" s="288"/>
      <c r="M7" s="288"/>
      <c r="N7" s="289"/>
      <c r="O7" s="139"/>
    </row>
    <row r="8" spans="1:16" ht="20.45" customHeight="1" x14ac:dyDescent="0.25">
      <c r="A8" s="257" t="s">
        <v>87</v>
      </c>
      <c r="B8" s="257"/>
      <c r="C8" s="257"/>
      <c r="D8" s="257"/>
      <c r="E8" s="253"/>
      <c r="F8" s="253"/>
      <c r="G8" s="253"/>
      <c r="H8" s="253"/>
      <c r="I8" s="253"/>
      <c r="J8" s="287"/>
      <c r="K8" s="288"/>
      <c r="L8" s="288"/>
      <c r="M8" s="288"/>
      <c r="N8" s="289"/>
      <c r="O8" s="139"/>
    </row>
    <row r="9" spans="1:16" ht="20.45" customHeight="1" x14ac:dyDescent="0.25">
      <c r="A9" s="311" t="s">
        <v>140</v>
      </c>
      <c r="B9" s="311"/>
      <c r="C9" s="311"/>
      <c r="D9" s="311"/>
      <c r="E9" s="253"/>
      <c r="F9" s="253"/>
      <c r="G9" s="253"/>
      <c r="H9" s="253"/>
      <c r="I9" s="253"/>
      <c r="J9" s="290"/>
      <c r="K9" s="291"/>
      <c r="L9" s="291"/>
      <c r="M9" s="291"/>
      <c r="N9" s="292"/>
      <c r="O9" s="139"/>
    </row>
    <row r="10" spans="1:16" ht="20.45" customHeight="1" x14ac:dyDescent="0.25">
      <c r="A10" s="303" t="s">
        <v>110</v>
      </c>
      <c r="B10" s="303"/>
      <c r="C10" s="305">
        <v>188</v>
      </c>
      <c r="D10" s="305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139"/>
    </row>
    <row r="11" spans="1:16" ht="20.45" customHeight="1" x14ac:dyDescent="0.25">
      <c r="A11" s="233" t="s">
        <v>0</v>
      </c>
      <c r="B11" s="238" t="s">
        <v>19</v>
      </c>
      <c r="C11" s="238" t="s">
        <v>8</v>
      </c>
      <c r="D11" s="238" t="s">
        <v>9</v>
      </c>
      <c r="E11" s="241" t="s">
        <v>11</v>
      </c>
      <c r="F11" s="242"/>
      <c r="G11" s="241" t="s">
        <v>13</v>
      </c>
      <c r="H11" s="242"/>
      <c r="I11" s="233" t="s">
        <v>16</v>
      </c>
      <c r="J11" s="233" t="s">
        <v>32</v>
      </c>
      <c r="K11" s="233" t="s">
        <v>33</v>
      </c>
      <c r="L11" s="233" t="s">
        <v>17</v>
      </c>
      <c r="M11" s="233" t="s">
        <v>54</v>
      </c>
      <c r="N11" s="233" t="s">
        <v>18</v>
      </c>
      <c r="O11" s="140"/>
    </row>
    <row r="12" spans="1:16" ht="20.45" customHeight="1" x14ac:dyDescent="0.25">
      <c r="A12" s="236"/>
      <c r="B12" s="239"/>
      <c r="C12" s="239"/>
      <c r="D12" s="239"/>
      <c r="E12" s="243"/>
      <c r="F12" s="244"/>
      <c r="G12" s="243"/>
      <c r="H12" s="244"/>
      <c r="I12" s="234"/>
      <c r="J12" s="234"/>
      <c r="K12" s="234"/>
      <c r="L12" s="234"/>
      <c r="M12" s="234"/>
      <c r="N12" s="236"/>
      <c r="O12" s="132"/>
    </row>
    <row r="13" spans="1:16" ht="20.45" customHeight="1" x14ac:dyDescent="0.25">
      <c r="A13" s="236"/>
      <c r="B13" s="239"/>
      <c r="C13" s="239"/>
      <c r="D13" s="239"/>
      <c r="E13" s="233" t="s">
        <v>10</v>
      </c>
      <c r="F13" s="233" t="s">
        <v>12</v>
      </c>
      <c r="G13" s="233" t="s">
        <v>14</v>
      </c>
      <c r="H13" s="233" t="s">
        <v>15</v>
      </c>
      <c r="I13" s="234"/>
      <c r="J13" s="234"/>
      <c r="K13" s="234"/>
      <c r="L13" s="234"/>
      <c r="M13" s="234"/>
      <c r="N13" s="236"/>
      <c r="O13" s="132"/>
    </row>
    <row r="14" spans="1:16" ht="20.45" customHeight="1" x14ac:dyDescent="0.25">
      <c r="A14" s="237"/>
      <c r="B14" s="240"/>
      <c r="C14" s="240"/>
      <c r="D14" s="240"/>
      <c r="E14" s="235"/>
      <c r="F14" s="235"/>
      <c r="G14" s="235"/>
      <c r="H14" s="235"/>
      <c r="I14" s="235"/>
      <c r="J14" s="235"/>
      <c r="K14" s="235"/>
      <c r="L14" s="235"/>
      <c r="M14" s="235"/>
      <c r="N14" s="237"/>
      <c r="O14" s="132"/>
    </row>
    <row r="15" spans="1:16" ht="20.45" customHeight="1" x14ac:dyDescent="0.25">
      <c r="A15" s="246" t="s">
        <v>35</v>
      </c>
      <c r="B15" s="247"/>
      <c r="C15" s="247"/>
      <c r="D15" s="247"/>
      <c r="E15" s="247"/>
      <c r="F15" s="247"/>
      <c r="G15" s="247"/>
      <c r="H15" s="247"/>
      <c r="I15" s="247"/>
      <c r="J15" s="247"/>
      <c r="K15" s="247"/>
      <c r="L15" s="247"/>
      <c r="M15" s="247"/>
      <c r="N15" s="248"/>
      <c r="O15" s="132"/>
    </row>
    <row r="16" spans="1:16" ht="20.45" customHeight="1" x14ac:dyDescent="0.25">
      <c r="A16" s="7">
        <v>1</v>
      </c>
      <c r="B16" s="8" t="s">
        <v>2</v>
      </c>
      <c r="C16" s="10">
        <f>L16/100*100</f>
        <v>90</v>
      </c>
      <c r="D16" s="11">
        <f>C16/100*60</f>
        <v>54</v>
      </c>
      <c r="E16" s="12">
        <f>C16/100*15</f>
        <v>13.5</v>
      </c>
      <c r="F16" s="12"/>
      <c r="G16" s="12"/>
      <c r="H16" s="12"/>
      <c r="I16" s="12"/>
      <c r="J16" s="19">
        <f>C16/100*387</f>
        <v>348.3</v>
      </c>
      <c r="K16" s="19">
        <f>C16/100*0.09</f>
        <v>8.1000000000000003E-2</v>
      </c>
      <c r="L16" s="99">
        <v>90</v>
      </c>
      <c r="M16" s="17">
        <v>20</v>
      </c>
      <c r="N16" s="10">
        <f>L16*M16</f>
        <v>1800</v>
      </c>
      <c r="O16" s="3"/>
    </row>
    <row r="17" spans="1:20" ht="20.45" customHeight="1" x14ac:dyDescent="0.25">
      <c r="A17" s="7">
        <v>2</v>
      </c>
      <c r="B17" s="8" t="s">
        <v>119</v>
      </c>
      <c r="C17" s="10">
        <f>L17/100*100</f>
        <v>1320</v>
      </c>
      <c r="D17" s="11">
        <f>C17/100*53</f>
        <v>699.59999999999991</v>
      </c>
      <c r="E17" s="12"/>
      <c r="F17" s="12">
        <f>C17/100*6.3</f>
        <v>83.16</v>
      </c>
      <c r="G17" s="12"/>
      <c r="H17" s="12">
        <f>C17/100*0.04</f>
        <v>0.52800000000000002</v>
      </c>
      <c r="I17" s="12">
        <f>C17/100*6.8</f>
        <v>89.759999999999991</v>
      </c>
      <c r="J17" s="19">
        <f>C17/100*19</f>
        <v>250.79999999999998</v>
      </c>
      <c r="K17" s="19">
        <f>C17/100*0.03</f>
        <v>0.39599999999999996</v>
      </c>
      <c r="L17" s="99">
        <v>1320</v>
      </c>
      <c r="M17" s="17">
        <v>42.5</v>
      </c>
      <c r="N17" s="10">
        <f t="shared" ref="N17:N27" si="0">L17*M17</f>
        <v>56100</v>
      </c>
      <c r="O17" s="146"/>
    </row>
    <row r="18" spans="1:20" ht="20.45" customHeight="1" x14ac:dyDescent="0.25">
      <c r="A18" s="7">
        <v>3</v>
      </c>
      <c r="B18" s="103" t="s">
        <v>121</v>
      </c>
      <c r="C18" s="10">
        <f>L18/100*100</f>
        <v>560</v>
      </c>
      <c r="D18" s="11">
        <f>C18/100*899</f>
        <v>5034.3999999999996</v>
      </c>
      <c r="E18" s="12"/>
      <c r="F18" s="12"/>
      <c r="G18" s="12">
        <f>C18/100*100</f>
        <v>560</v>
      </c>
      <c r="H18" s="12"/>
      <c r="I18" s="12"/>
      <c r="J18" s="12"/>
      <c r="K18" s="12"/>
      <c r="L18" s="13">
        <v>560</v>
      </c>
      <c r="M18" s="57">
        <v>68</v>
      </c>
      <c r="N18" s="10">
        <f t="shared" si="0"/>
        <v>38080</v>
      </c>
      <c r="O18" s="141"/>
    </row>
    <row r="19" spans="1:20" ht="20.45" customHeight="1" x14ac:dyDescent="0.25">
      <c r="A19" s="7">
        <v>4</v>
      </c>
      <c r="B19" s="8" t="s">
        <v>128</v>
      </c>
      <c r="C19" s="10">
        <f>L19/100*90</f>
        <v>171</v>
      </c>
      <c r="D19" s="11">
        <f>C19/100*281</f>
        <v>480.51</v>
      </c>
      <c r="E19" s="12"/>
      <c r="F19" s="12">
        <f>C19/100*9.5</f>
        <v>16.245000000000001</v>
      </c>
      <c r="G19" s="12"/>
      <c r="H19" s="12">
        <f>C19/100*0.2</f>
        <v>0.34200000000000003</v>
      </c>
      <c r="I19" s="12">
        <f>D19/100*58.5</f>
        <v>281.09834999999998</v>
      </c>
      <c r="J19" s="19">
        <f>C19/100*321</f>
        <v>548.91</v>
      </c>
      <c r="K19" s="19">
        <f>C19/100*0.14</f>
        <v>0.23940000000000003</v>
      </c>
      <c r="L19" s="99">
        <v>190</v>
      </c>
      <c r="M19" s="38">
        <v>120</v>
      </c>
      <c r="N19" s="10">
        <f t="shared" si="0"/>
        <v>22800</v>
      </c>
      <c r="O19" s="146"/>
    </row>
    <row r="20" spans="1:20" ht="20.45" customHeight="1" x14ac:dyDescent="0.25">
      <c r="A20" s="7">
        <v>5</v>
      </c>
      <c r="B20" s="4" t="s">
        <v>1</v>
      </c>
      <c r="C20" s="10">
        <f>L20/100*100</f>
        <v>17860</v>
      </c>
      <c r="D20" s="57">
        <f>C20/100*321</f>
        <v>57330.6</v>
      </c>
      <c r="E20" s="12"/>
      <c r="F20" s="81">
        <f>C20/100*7.9</f>
        <v>1410.94</v>
      </c>
      <c r="G20" s="12"/>
      <c r="H20" s="12">
        <f>C20/100*1</f>
        <v>178.6</v>
      </c>
      <c r="I20" s="81">
        <f>C20/100*67</f>
        <v>11966.199999999999</v>
      </c>
      <c r="J20" s="56">
        <f>C20/100*30</f>
        <v>5358</v>
      </c>
      <c r="K20" s="19">
        <f>C20/100*0.1</f>
        <v>17.86</v>
      </c>
      <c r="L20" s="99">
        <v>17860</v>
      </c>
      <c r="M20" s="17">
        <v>18</v>
      </c>
      <c r="N20" s="10">
        <f t="shared" si="0"/>
        <v>321480</v>
      </c>
      <c r="O20" s="3"/>
    </row>
    <row r="21" spans="1:20" ht="20.45" customHeight="1" x14ac:dyDescent="0.25">
      <c r="A21" s="7">
        <v>6</v>
      </c>
      <c r="B21" s="4" t="s">
        <v>3</v>
      </c>
      <c r="C21" s="10">
        <f>L21/100*48</f>
        <v>3648</v>
      </c>
      <c r="D21" s="11">
        <f>C21/100*199</f>
        <v>7259.5199999999995</v>
      </c>
      <c r="E21" s="12">
        <f>C21/100*20.3</f>
        <v>740.54399999999998</v>
      </c>
      <c r="F21" s="12"/>
      <c r="G21" s="12">
        <f>C21/100*13.1</f>
        <v>477.88799999999992</v>
      </c>
      <c r="H21" s="12"/>
      <c r="I21" s="12"/>
      <c r="J21" s="19">
        <f>C21/100*12</f>
        <v>437.76</v>
      </c>
      <c r="K21" s="19">
        <f>C21/100*0.15</f>
        <v>5.4719999999999995</v>
      </c>
      <c r="L21" s="99">
        <v>7600</v>
      </c>
      <c r="M21" s="13">
        <v>84</v>
      </c>
      <c r="N21" s="10">
        <f t="shared" si="0"/>
        <v>638400</v>
      </c>
      <c r="O21" s="3"/>
      <c r="Q21" s="2"/>
      <c r="R21" s="2"/>
      <c r="S21" s="3"/>
    </row>
    <row r="22" spans="1:20" ht="20.45" customHeight="1" x14ac:dyDescent="0.25">
      <c r="A22" s="7">
        <v>7</v>
      </c>
      <c r="B22" s="8" t="s">
        <v>66</v>
      </c>
      <c r="C22" s="10">
        <f>L22/100*98</f>
        <v>6458.2000000000007</v>
      </c>
      <c r="D22" s="11">
        <f>C22/100*139</f>
        <v>8976.898000000001</v>
      </c>
      <c r="E22" s="81">
        <f>C22/100*19</f>
        <v>1227.0580000000002</v>
      </c>
      <c r="F22" s="12"/>
      <c r="G22" s="12">
        <f>C22/100*7</f>
        <v>452.07400000000007</v>
      </c>
      <c r="H22" s="12"/>
      <c r="I22" s="12"/>
      <c r="J22" s="19">
        <f>C22/100*7</f>
        <v>452.07400000000007</v>
      </c>
      <c r="K22" s="19">
        <f>C22/100*0.9</f>
        <v>58.12380000000001</v>
      </c>
      <c r="L22" s="99">
        <v>6590</v>
      </c>
      <c r="M22" s="13">
        <v>130</v>
      </c>
      <c r="N22" s="10">
        <f t="shared" si="0"/>
        <v>856700</v>
      </c>
      <c r="O22" s="3"/>
    </row>
    <row r="23" spans="1:20" ht="20.45" customHeight="1" x14ac:dyDescent="0.25">
      <c r="A23" s="7">
        <v>8</v>
      </c>
      <c r="B23" s="4" t="s">
        <v>63</v>
      </c>
      <c r="C23" s="10">
        <f>L23/100*86</f>
        <v>1616.8</v>
      </c>
      <c r="D23" s="11">
        <f>C23/100*166</f>
        <v>2683.8879999999999</v>
      </c>
      <c r="E23" s="12">
        <f>C23/100*14.8</f>
        <v>239.28640000000001</v>
      </c>
      <c r="F23" s="12"/>
      <c r="G23" s="12">
        <f>C23/100*11.6</f>
        <v>187.54879999999997</v>
      </c>
      <c r="H23" s="12"/>
      <c r="I23" s="12">
        <f>C23/100*0.5</f>
        <v>8.0839999999999996</v>
      </c>
      <c r="J23" s="19">
        <f>C23/100*55</f>
        <v>889.24</v>
      </c>
      <c r="K23" s="19">
        <f>C23/100*0.16</f>
        <v>2.5868799999999998</v>
      </c>
      <c r="L23" s="99">
        <v>1880</v>
      </c>
      <c r="M23" s="17">
        <v>62</v>
      </c>
      <c r="N23" s="10">
        <f t="shared" si="0"/>
        <v>116560</v>
      </c>
      <c r="O23" s="3"/>
      <c r="Q23" s="2"/>
      <c r="R23" s="2"/>
      <c r="S23" s="3"/>
    </row>
    <row r="24" spans="1:20" ht="20.45" customHeight="1" x14ac:dyDescent="0.25">
      <c r="A24" s="7">
        <v>9</v>
      </c>
      <c r="B24" s="4" t="s">
        <v>142</v>
      </c>
      <c r="C24" s="10">
        <f>L24/100*31</f>
        <v>582.80000000000007</v>
      </c>
      <c r="D24" s="11">
        <f>C24/100*87</f>
        <v>507.036</v>
      </c>
      <c r="E24" s="12">
        <f>C24/100*12.3</f>
        <v>71.684400000000011</v>
      </c>
      <c r="F24" s="12"/>
      <c r="G24" s="12">
        <f>C24/100*3.3</f>
        <v>19.232399999999998</v>
      </c>
      <c r="H24" s="12"/>
      <c r="I24" s="12">
        <f>C24/100*2</f>
        <v>11.656000000000001</v>
      </c>
      <c r="J24" s="56">
        <f>C24/100*1120</f>
        <v>6527.3600000000006</v>
      </c>
      <c r="K24" s="19">
        <f>C24/100*0.01</f>
        <v>5.8280000000000005E-2</v>
      </c>
      <c r="L24" s="99">
        <v>1880</v>
      </c>
      <c r="M24" s="17">
        <v>160</v>
      </c>
      <c r="N24" s="83">
        <f t="shared" si="0"/>
        <v>300800</v>
      </c>
      <c r="O24" s="3"/>
      <c r="Q24" s="2"/>
      <c r="R24" s="2"/>
      <c r="S24" s="3"/>
    </row>
    <row r="25" spans="1:20" ht="20.45" customHeight="1" x14ac:dyDescent="0.25">
      <c r="A25" s="7">
        <v>10</v>
      </c>
      <c r="B25" s="4" t="s">
        <v>68</v>
      </c>
      <c r="C25" s="10">
        <f>L25/100*75</f>
        <v>2850</v>
      </c>
      <c r="D25" s="11">
        <f>C25/100*12</f>
        <v>342</v>
      </c>
      <c r="E25" s="14"/>
      <c r="F25" s="14">
        <f>C25/100*0.6</f>
        <v>17.099999999999998</v>
      </c>
      <c r="G25" s="14"/>
      <c r="H25" s="14"/>
      <c r="I25" s="14">
        <f>C25/100*2.4</f>
        <v>68.399999999999991</v>
      </c>
      <c r="J25" s="81">
        <f>C25/100*120</f>
        <v>3420</v>
      </c>
      <c r="K25" s="19">
        <f>C25/100*0.02</f>
        <v>0.57000000000000006</v>
      </c>
      <c r="L25" s="144">
        <v>3800</v>
      </c>
      <c r="M25" s="17">
        <v>30</v>
      </c>
      <c r="N25" s="10">
        <f t="shared" si="0"/>
        <v>114000</v>
      </c>
      <c r="O25" s="3"/>
      <c r="P25" s="2"/>
    </row>
    <row r="26" spans="1:20" ht="20.45" customHeight="1" x14ac:dyDescent="0.25">
      <c r="A26" s="7">
        <v>11</v>
      </c>
      <c r="B26" s="4" t="s">
        <v>134</v>
      </c>
      <c r="C26" s="10">
        <f>L26/100*75</f>
        <v>4942.5</v>
      </c>
      <c r="D26" s="11">
        <f>C26/100*17</f>
        <v>840.22499999999991</v>
      </c>
      <c r="E26" s="12"/>
      <c r="F26" s="12">
        <f>C26/100*1.4</f>
        <v>69.194999999999993</v>
      </c>
      <c r="G26" s="12"/>
      <c r="H26" s="12">
        <f>C26/100*0.2</f>
        <v>9.8849999999999998</v>
      </c>
      <c r="I26" s="12">
        <f>C26/100*2.4</f>
        <v>118.61999999999999</v>
      </c>
      <c r="J26" s="81">
        <f>C26/100*50</f>
        <v>2471.25</v>
      </c>
      <c r="K26" s="12">
        <f>C26/100*0.09</f>
        <v>4.4482499999999998</v>
      </c>
      <c r="L26" s="99">
        <v>6590</v>
      </c>
      <c r="M26" s="17">
        <v>18</v>
      </c>
      <c r="N26" s="10">
        <f t="shared" si="0"/>
        <v>118620</v>
      </c>
      <c r="O26" s="3"/>
    </row>
    <row r="27" spans="1:20" ht="20.45" customHeight="1" x14ac:dyDescent="0.25">
      <c r="A27" s="7">
        <v>12</v>
      </c>
      <c r="B27" s="4" t="s">
        <v>117</v>
      </c>
      <c r="C27" s="10">
        <f>L27/100*100</f>
        <v>190</v>
      </c>
      <c r="D27" s="11">
        <f>C27/100*247</f>
        <v>469.29999999999995</v>
      </c>
      <c r="E27" s="14"/>
      <c r="F27" s="14">
        <f>C27/100*17.5</f>
        <v>33.25</v>
      </c>
      <c r="G27" s="14"/>
      <c r="H27" s="14">
        <f>C27/100*1.6</f>
        <v>3.04</v>
      </c>
      <c r="I27" s="14">
        <f>C27/100*39.2</f>
        <v>74.48</v>
      </c>
      <c r="J27" s="18"/>
      <c r="K27" s="18"/>
      <c r="L27" s="143">
        <v>190</v>
      </c>
      <c r="M27" s="17">
        <v>50</v>
      </c>
      <c r="N27" s="10">
        <f t="shared" si="0"/>
        <v>9500</v>
      </c>
      <c r="O27" s="3"/>
      <c r="Q27" s="2"/>
      <c r="R27" s="2"/>
      <c r="S27" s="3"/>
      <c r="T27" s="2"/>
    </row>
    <row r="28" spans="1:20" ht="20.45" customHeight="1" x14ac:dyDescent="0.25">
      <c r="A28" s="7">
        <v>13</v>
      </c>
      <c r="B28" s="8" t="s">
        <v>111</v>
      </c>
      <c r="C28" s="10"/>
      <c r="D28" s="11"/>
      <c r="E28" s="12"/>
      <c r="F28" s="12"/>
      <c r="G28" s="12"/>
      <c r="H28" s="12"/>
      <c r="I28" s="12"/>
      <c r="J28" s="12"/>
      <c r="K28" s="12"/>
      <c r="L28" s="13"/>
      <c r="M28" s="13"/>
      <c r="N28" s="10">
        <v>14250</v>
      </c>
      <c r="O28" s="3"/>
    </row>
    <row r="29" spans="1:20" ht="20.45" customHeight="1" x14ac:dyDescent="0.25">
      <c r="A29" s="20" t="s">
        <v>97</v>
      </c>
      <c r="B29" s="21"/>
      <c r="C29" s="22"/>
      <c r="D29" s="84">
        <f>SUM(D16:D28)</f>
        <v>84677.977000000014</v>
      </c>
      <c r="E29" s="24"/>
      <c r="F29" s="24"/>
      <c r="G29" s="24"/>
      <c r="H29" s="24"/>
      <c r="I29" s="24"/>
      <c r="J29" s="24"/>
      <c r="K29" s="24"/>
      <c r="L29" s="25"/>
      <c r="M29" s="25"/>
      <c r="N29" s="215">
        <f>SUM(N16:N28)</f>
        <v>2609090</v>
      </c>
      <c r="O29" s="3"/>
    </row>
    <row r="30" spans="1:20" ht="20.45" customHeight="1" x14ac:dyDescent="0.25">
      <c r="A30" s="20" t="s">
        <v>6</v>
      </c>
      <c r="B30" s="21"/>
      <c r="C30" s="22"/>
      <c r="D30" s="23">
        <f>D29/C10</f>
        <v>450.41477127659584</v>
      </c>
      <c r="E30" s="24"/>
      <c r="F30" s="24"/>
      <c r="G30" s="24"/>
      <c r="H30" s="24"/>
      <c r="I30" s="24"/>
      <c r="J30" s="24"/>
      <c r="K30" s="24"/>
      <c r="L30" s="25"/>
      <c r="M30" s="25"/>
      <c r="N30" s="216"/>
      <c r="O30" s="3"/>
    </row>
    <row r="31" spans="1:20" ht="20.45" customHeight="1" x14ac:dyDescent="0.25">
      <c r="A31" s="307" t="s">
        <v>50</v>
      </c>
      <c r="B31" s="218"/>
      <c r="C31" s="145" t="s">
        <v>132</v>
      </c>
      <c r="D31" s="26" t="s">
        <v>38</v>
      </c>
      <c r="E31" s="24"/>
      <c r="F31" s="24"/>
      <c r="G31" s="24"/>
      <c r="H31" s="24"/>
      <c r="I31" s="24"/>
      <c r="J31" s="24"/>
      <c r="K31" s="24"/>
      <c r="L31" s="25"/>
      <c r="M31" s="25"/>
      <c r="N31" s="27"/>
      <c r="O31" s="3"/>
    </row>
    <row r="32" spans="1:20" ht="20.45" customHeight="1" x14ac:dyDescent="0.25">
      <c r="A32" s="219"/>
      <c r="B32" s="220"/>
      <c r="C32" s="54" t="s">
        <v>58</v>
      </c>
      <c r="D32" s="26">
        <f>D30*100/1320</f>
        <v>34.122331157317866</v>
      </c>
      <c r="E32" s="24"/>
      <c r="F32" s="24"/>
      <c r="G32" s="24"/>
      <c r="H32" s="24"/>
      <c r="I32" s="24"/>
      <c r="J32" s="24"/>
      <c r="K32" s="24"/>
      <c r="L32" s="25"/>
      <c r="M32" s="25"/>
      <c r="N32" s="27"/>
      <c r="O32" s="3"/>
    </row>
    <row r="33" spans="1:20" ht="20.45" customHeight="1" x14ac:dyDescent="0.3">
      <c r="A33" s="245" t="s">
        <v>39</v>
      </c>
      <c r="B33" s="245"/>
      <c r="C33" s="39"/>
      <c r="D33" s="40"/>
      <c r="E33" s="41"/>
      <c r="F33" s="41"/>
      <c r="G33" s="41"/>
      <c r="H33" s="41"/>
      <c r="I33" s="41"/>
      <c r="J33" s="41"/>
      <c r="K33" s="41"/>
      <c r="L33" s="42"/>
      <c r="M33" s="42"/>
      <c r="N33" s="43"/>
      <c r="O33" s="3"/>
    </row>
    <row r="34" spans="1:20" ht="20.45" customHeight="1" x14ac:dyDescent="0.25">
      <c r="A34" s="7">
        <v>1</v>
      </c>
      <c r="B34" s="8" t="s">
        <v>2</v>
      </c>
      <c r="C34" s="10">
        <f>L34/100*100</f>
        <v>190</v>
      </c>
      <c r="D34" s="11">
        <f>C34/100*60</f>
        <v>114</v>
      </c>
      <c r="E34" s="12">
        <f>C34/100*15</f>
        <v>28.5</v>
      </c>
      <c r="F34" s="12"/>
      <c r="G34" s="12"/>
      <c r="H34" s="12"/>
      <c r="I34" s="12"/>
      <c r="J34" s="19">
        <f>C34/100*387</f>
        <v>735.3</v>
      </c>
      <c r="K34" s="19">
        <f>C34/100*0.09</f>
        <v>0.17099999999999999</v>
      </c>
      <c r="L34" s="99">
        <v>190</v>
      </c>
      <c r="M34" s="17">
        <v>20</v>
      </c>
      <c r="N34" s="10">
        <f>L34*M34</f>
        <v>3800</v>
      </c>
      <c r="O34" s="3"/>
    </row>
    <row r="35" spans="1:20" ht="20.45" customHeight="1" x14ac:dyDescent="0.25">
      <c r="A35" s="7">
        <v>2</v>
      </c>
      <c r="B35" s="103" t="s">
        <v>121</v>
      </c>
      <c r="C35" s="10">
        <f>L35/100*100</f>
        <v>660</v>
      </c>
      <c r="D35" s="11">
        <f>C35/100*899</f>
        <v>5933.4</v>
      </c>
      <c r="E35" s="12"/>
      <c r="F35" s="12"/>
      <c r="G35" s="12">
        <f>C35/100*100</f>
        <v>660</v>
      </c>
      <c r="H35" s="12"/>
      <c r="I35" s="12"/>
      <c r="J35" s="12"/>
      <c r="K35" s="12"/>
      <c r="L35" s="13">
        <v>660</v>
      </c>
      <c r="M35" s="57">
        <v>68</v>
      </c>
      <c r="N35" s="10">
        <f t="shared" ref="N35:N38" si="1">L35*M35</f>
        <v>44880</v>
      </c>
      <c r="O35" s="141"/>
    </row>
    <row r="36" spans="1:20" ht="20.45" customHeight="1" x14ac:dyDescent="0.25">
      <c r="A36" s="7">
        <v>3</v>
      </c>
      <c r="B36" s="8" t="s">
        <v>126</v>
      </c>
      <c r="C36" s="10">
        <f>L36/100*100</f>
        <v>850</v>
      </c>
      <c r="D36" s="57">
        <f>C36/100*900</f>
        <v>7650</v>
      </c>
      <c r="E36" s="12"/>
      <c r="F36" s="12"/>
      <c r="G36" s="81"/>
      <c r="H36" s="12">
        <f>C36/100*100</f>
        <v>850</v>
      </c>
      <c r="I36" s="12"/>
      <c r="J36" s="12"/>
      <c r="K36" s="12"/>
      <c r="L36" s="99">
        <v>850</v>
      </c>
      <c r="M36" s="57">
        <v>63.5</v>
      </c>
      <c r="N36" s="83">
        <f t="shared" si="1"/>
        <v>53975</v>
      </c>
      <c r="O36" s="141"/>
    </row>
    <row r="37" spans="1:20" ht="20.45" customHeight="1" x14ac:dyDescent="0.25">
      <c r="A37" s="7">
        <v>4</v>
      </c>
      <c r="B37" s="8" t="s">
        <v>66</v>
      </c>
      <c r="C37" s="10">
        <f>L37/100*98</f>
        <v>5684</v>
      </c>
      <c r="D37" s="11">
        <f>C37/100*139</f>
        <v>7900.76</v>
      </c>
      <c r="E37" s="81">
        <f>C37/100*19</f>
        <v>1079.96</v>
      </c>
      <c r="F37" s="12"/>
      <c r="G37" s="12">
        <f>C37/100*7</f>
        <v>397.88</v>
      </c>
      <c r="H37" s="12"/>
      <c r="I37" s="12"/>
      <c r="J37" s="19">
        <f>C37/100*7</f>
        <v>397.88</v>
      </c>
      <c r="K37" s="19">
        <f>C37/100*0.9</f>
        <v>51.156000000000006</v>
      </c>
      <c r="L37" s="99">
        <v>5800</v>
      </c>
      <c r="M37" s="13">
        <v>130</v>
      </c>
      <c r="N37" s="10">
        <f t="shared" si="1"/>
        <v>754000</v>
      </c>
      <c r="O37" s="3"/>
    </row>
    <row r="38" spans="1:20" ht="19.899999999999999" customHeight="1" x14ac:dyDescent="0.25">
      <c r="A38" s="7">
        <v>5</v>
      </c>
      <c r="B38" s="4" t="s">
        <v>65</v>
      </c>
      <c r="C38" s="10">
        <f>L38/100*100</f>
        <v>5640</v>
      </c>
      <c r="D38" s="57">
        <f>C38/100*344</f>
        <v>19401.599999999999</v>
      </c>
      <c r="E38" s="12"/>
      <c r="F38" s="12">
        <f>C38/100*8.6</f>
        <v>485.03999999999996</v>
      </c>
      <c r="G38" s="12"/>
      <c r="H38" s="12">
        <f>C38/100*1.5</f>
        <v>84.6</v>
      </c>
      <c r="I38" s="81">
        <f>C38/100*70</f>
        <v>3948</v>
      </c>
      <c r="J38" s="81">
        <f>C38/100*32</f>
        <v>1804.8</v>
      </c>
      <c r="K38" s="12">
        <f>C38/100*0.14</f>
        <v>7.8960000000000008</v>
      </c>
      <c r="L38" s="99">
        <v>5640</v>
      </c>
      <c r="M38" s="17">
        <v>30</v>
      </c>
      <c r="N38" s="10">
        <f t="shared" si="1"/>
        <v>169200</v>
      </c>
      <c r="O38" s="3"/>
      <c r="P38" s="146"/>
    </row>
    <row r="39" spans="1:20" ht="19.899999999999999" customHeight="1" x14ac:dyDescent="0.25">
      <c r="A39" s="7">
        <v>6</v>
      </c>
      <c r="B39" s="4" t="s">
        <v>61</v>
      </c>
      <c r="C39" s="10">
        <f>L39/100*100</f>
        <v>370</v>
      </c>
      <c r="D39" s="11">
        <f>C39/100*334</f>
        <v>1235.8</v>
      </c>
      <c r="E39" s="12"/>
      <c r="F39" s="12">
        <f>C39/100*20</f>
        <v>74</v>
      </c>
      <c r="G39" s="12"/>
      <c r="H39" s="12">
        <f>C39/100*2.4</f>
        <v>8.8800000000000008</v>
      </c>
      <c r="I39" s="12">
        <f>C39/100*58</f>
        <v>214.60000000000002</v>
      </c>
      <c r="J39" s="19">
        <f>C39/100*89</f>
        <v>329.3</v>
      </c>
      <c r="K39" s="19">
        <f>C39/100*0.64</f>
        <v>2.3680000000000003</v>
      </c>
      <c r="L39" s="99">
        <v>370</v>
      </c>
      <c r="M39" s="91">
        <v>190</v>
      </c>
      <c r="N39" s="10">
        <f>L39*M39</f>
        <v>70300</v>
      </c>
      <c r="O39" s="3"/>
    </row>
    <row r="40" spans="1:20" ht="20.45" customHeight="1" x14ac:dyDescent="0.25">
      <c r="A40" s="7">
        <v>7</v>
      </c>
      <c r="B40" s="4" t="s">
        <v>117</v>
      </c>
      <c r="C40" s="10">
        <f>L40/100*100</f>
        <v>110.00000000000001</v>
      </c>
      <c r="D40" s="11">
        <f>C40/100*247</f>
        <v>271.70000000000005</v>
      </c>
      <c r="E40" s="14"/>
      <c r="F40" s="14">
        <f>C40/100*17.5</f>
        <v>19.25</v>
      </c>
      <c r="G40" s="14"/>
      <c r="H40" s="14">
        <f>C40/100*1.6</f>
        <v>1.7600000000000002</v>
      </c>
      <c r="I40" s="14">
        <f>C40/100*39.2</f>
        <v>43.120000000000005</v>
      </c>
      <c r="J40" s="18"/>
      <c r="K40" s="18"/>
      <c r="L40" s="144">
        <v>110</v>
      </c>
      <c r="M40" s="17">
        <v>50</v>
      </c>
      <c r="N40" s="10">
        <f t="shared" ref="N40:N41" si="2">L40*M40</f>
        <v>5500</v>
      </c>
      <c r="O40" s="3"/>
      <c r="Q40" s="2"/>
      <c r="R40" s="2"/>
      <c r="S40" s="3"/>
      <c r="T40" s="2"/>
    </row>
    <row r="41" spans="1:20" ht="20.45" customHeight="1" x14ac:dyDescent="0.25">
      <c r="A41" s="7">
        <v>8</v>
      </c>
      <c r="B41" s="110" t="s">
        <v>154</v>
      </c>
      <c r="C41" s="10">
        <f>L41/100*73.5</f>
        <v>15199.800000000001</v>
      </c>
      <c r="D41" s="11">
        <f>C41/100*56</f>
        <v>8511.8880000000008</v>
      </c>
      <c r="E41" s="14"/>
      <c r="F41" s="14">
        <f>C41/100*0.9</f>
        <v>136.79820000000001</v>
      </c>
      <c r="G41" s="14"/>
      <c r="H41" s="14">
        <f>C41/100*0.3</f>
        <v>45.599400000000003</v>
      </c>
      <c r="I41" s="111">
        <f>C41/100*12.4</f>
        <v>1884.7752000000003</v>
      </c>
      <c r="J41" s="55">
        <f>C41/100*12</f>
        <v>1823.9760000000001</v>
      </c>
      <c r="K41" s="18">
        <f>C41/100*0.04</f>
        <v>6.0799200000000013</v>
      </c>
      <c r="L41" s="143">
        <v>20680</v>
      </c>
      <c r="M41" s="17">
        <v>20</v>
      </c>
      <c r="N41" s="10">
        <f t="shared" si="2"/>
        <v>413600</v>
      </c>
      <c r="O41" s="3"/>
    </row>
    <row r="42" spans="1:20" ht="20.45" customHeight="1" x14ac:dyDescent="0.25">
      <c r="A42" s="69">
        <v>9</v>
      </c>
      <c r="B42" s="70" t="s">
        <v>111</v>
      </c>
      <c r="C42" s="71"/>
      <c r="D42" s="161"/>
      <c r="E42" s="93"/>
      <c r="F42" s="93"/>
      <c r="G42" s="93"/>
      <c r="H42" s="73"/>
      <c r="I42" s="73"/>
      <c r="J42" s="73"/>
      <c r="K42" s="73"/>
      <c r="L42" s="74"/>
      <c r="M42" s="74"/>
      <c r="N42" s="71">
        <v>12050</v>
      </c>
      <c r="O42" s="3"/>
    </row>
    <row r="43" spans="1:20" ht="19.149999999999999" customHeight="1" x14ac:dyDescent="0.25">
      <c r="A43" s="233" t="s">
        <v>0</v>
      </c>
      <c r="B43" s="238" t="s">
        <v>19</v>
      </c>
      <c r="C43" s="238" t="s">
        <v>8</v>
      </c>
      <c r="D43" s="238" t="s">
        <v>9</v>
      </c>
      <c r="E43" s="241" t="s">
        <v>11</v>
      </c>
      <c r="F43" s="242"/>
      <c r="G43" s="241" t="s">
        <v>13</v>
      </c>
      <c r="H43" s="242"/>
      <c r="I43" s="233" t="s">
        <v>16</v>
      </c>
      <c r="J43" s="233" t="s">
        <v>32</v>
      </c>
      <c r="K43" s="233" t="s">
        <v>33</v>
      </c>
      <c r="L43" s="233" t="s">
        <v>17</v>
      </c>
      <c r="M43" s="233" t="s">
        <v>54</v>
      </c>
      <c r="N43" s="233" t="s">
        <v>18</v>
      </c>
      <c r="O43" s="140"/>
    </row>
    <row r="44" spans="1:20" ht="19.149999999999999" customHeight="1" x14ac:dyDescent="0.25">
      <c r="A44" s="236"/>
      <c r="B44" s="239"/>
      <c r="C44" s="239"/>
      <c r="D44" s="239"/>
      <c r="E44" s="243"/>
      <c r="F44" s="244"/>
      <c r="G44" s="243"/>
      <c r="H44" s="244"/>
      <c r="I44" s="234"/>
      <c r="J44" s="234"/>
      <c r="K44" s="234"/>
      <c r="L44" s="234"/>
      <c r="M44" s="234"/>
      <c r="N44" s="236"/>
      <c r="O44" s="132"/>
    </row>
    <row r="45" spans="1:20" ht="19.149999999999999" customHeight="1" x14ac:dyDescent="0.25">
      <c r="A45" s="236"/>
      <c r="B45" s="239"/>
      <c r="C45" s="239"/>
      <c r="D45" s="239"/>
      <c r="E45" s="233" t="s">
        <v>10</v>
      </c>
      <c r="F45" s="233" t="s">
        <v>12</v>
      </c>
      <c r="G45" s="233" t="s">
        <v>14</v>
      </c>
      <c r="H45" s="233" t="s">
        <v>15</v>
      </c>
      <c r="I45" s="234"/>
      <c r="J45" s="234"/>
      <c r="K45" s="234"/>
      <c r="L45" s="234"/>
      <c r="M45" s="234"/>
      <c r="N45" s="236"/>
      <c r="O45" s="132"/>
    </row>
    <row r="46" spans="1:20" ht="19.149999999999999" customHeight="1" x14ac:dyDescent="0.25">
      <c r="A46" s="237"/>
      <c r="B46" s="240"/>
      <c r="C46" s="240"/>
      <c r="D46" s="240"/>
      <c r="E46" s="235"/>
      <c r="F46" s="235"/>
      <c r="G46" s="235"/>
      <c r="H46" s="235"/>
      <c r="I46" s="235"/>
      <c r="J46" s="235"/>
      <c r="K46" s="235"/>
      <c r="L46" s="235"/>
      <c r="M46" s="235"/>
      <c r="N46" s="237"/>
      <c r="O46" s="132"/>
    </row>
    <row r="47" spans="1:20" ht="21" customHeight="1" x14ac:dyDescent="0.25">
      <c r="A47" s="20" t="s">
        <v>98</v>
      </c>
      <c r="B47" s="21"/>
      <c r="C47" s="22"/>
      <c r="D47" s="84">
        <f>SUM(D34:D42)</f>
        <v>51019.147999999994</v>
      </c>
      <c r="E47" s="5"/>
      <c r="F47" s="5"/>
      <c r="G47" s="5"/>
      <c r="H47" s="5"/>
      <c r="I47" s="5"/>
      <c r="J47" s="5"/>
      <c r="K47" s="5"/>
      <c r="L47" s="28"/>
      <c r="M47" s="28"/>
      <c r="N47" s="215">
        <f>SUM(N34:N42)</f>
        <v>1527305</v>
      </c>
      <c r="O47" s="3"/>
    </row>
    <row r="48" spans="1:20" ht="21" customHeight="1" x14ac:dyDescent="0.25">
      <c r="A48" s="20" t="s">
        <v>7</v>
      </c>
      <c r="B48" s="21"/>
      <c r="C48" s="29"/>
      <c r="D48" s="30">
        <f>D47/C10</f>
        <v>271.3784468085106</v>
      </c>
      <c r="E48" s="30"/>
      <c r="F48" s="30"/>
      <c r="G48" s="30"/>
      <c r="H48" s="30"/>
      <c r="I48" s="30"/>
      <c r="J48" s="30"/>
      <c r="K48" s="30"/>
      <c r="L48" s="28"/>
      <c r="M48" s="28"/>
      <c r="N48" s="216"/>
      <c r="O48" s="3"/>
    </row>
    <row r="49" spans="1:22" ht="21" customHeight="1" x14ac:dyDescent="0.25">
      <c r="A49" s="307" t="s">
        <v>51</v>
      </c>
      <c r="B49" s="218"/>
      <c r="C49" s="145" t="s">
        <v>132</v>
      </c>
      <c r="D49" s="26" t="s">
        <v>41</v>
      </c>
      <c r="E49" s="30"/>
      <c r="F49" s="30"/>
      <c r="G49" s="30"/>
      <c r="H49" s="30"/>
      <c r="I49" s="30"/>
      <c r="J49" s="31"/>
      <c r="K49" s="31"/>
      <c r="L49" s="28"/>
      <c r="M49" s="28"/>
      <c r="N49" s="137"/>
      <c r="O49" s="3"/>
    </row>
    <row r="50" spans="1:22" ht="21" customHeight="1" x14ac:dyDescent="0.25">
      <c r="A50" s="219"/>
      <c r="B50" s="220"/>
      <c r="C50" s="54" t="s">
        <v>58</v>
      </c>
      <c r="D50" s="26">
        <f>D48*100/1320</f>
        <v>20.558973243068984</v>
      </c>
      <c r="E50" s="30"/>
      <c r="F50" s="30"/>
      <c r="G50" s="30"/>
      <c r="H50" s="30"/>
      <c r="I50" s="30"/>
      <c r="J50" s="31"/>
      <c r="K50" s="31"/>
      <c r="L50" s="28"/>
      <c r="M50" s="28"/>
      <c r="N50" s="137"/>
      <c r="O50" s="3"/>
    </row>
    <row r="51" spans="1:22" ht="21" customHeight="1" x14ac:dyDescent="0.25">
      <c r="A51" s="221" t="s">
        <v>99</v>
      </c>
      <c r="B51" s="222"/>
      <c r="C51" s="225"/>
      <c r="D51" s="276">
        <f>D29+D47</f>
        <v>135697.125</v>
      </c>
      <c r="E51" s="85">
        <f>SUM(E16:E42)</f>
        <v>3400.5328000000004</v>
      </c>
      <c r="F51" s="85">
        <f t="shared" ref="F51:H51" si="3">SUM(F16:F42)</f>
        <v>2344.9782</v>
      </c>
      <c r="G51" s="85">
        <f t="shared" si="3"/>
        <v>2754.6232</v>
      </c>
      <c r="H51" s="85">
        <f t="shared" si="3"/>
        <v>1183.2344000000001</v>
      </c>
      <c r="I51" s="231">
        <f>SUM(I16:I42)</f>
        <v>18708.793549999999</v>
      </c>
      <c r="J51" s="231">
        <f>SUM(J16:J42)</f>
        <v>25794.95</v>
      </c>
      <c r="K51" s="229">
        <f>SUM(K16:K42)</f>
        <v>157.50653</v>
      </c>
      <c r="L51" s="193"/>
      <c r="M51" s="193"/>
      <c r="N51" s="312">
        <f>N29+N47</f>
        <v>4136395</v>
      </c>
    </row>
    <row r="52" spans="1:22" ht="21" customHeight="1" x14ac:dyDescent="0.25">
      <c r="A52" s="223"/>
      <c r="B52" s="224"/>
      <c r="C52" s="226"/>
      <c r="D52" s="277"/>
      <c r="E52" s="195">
        <f>E51+F51</f>
        <v>5745.5110000000004</v>
      </c>
      <c r="F52" s="196"/>
      <c r="G52" s="195">
        <f>G51+H51</f>
        <v>3937.8576000000003</v>
      </c>
      <c r="H52" s="196"/>
      <c r="I52" s="232"/>
      <c r="J52" s="232"/>
      <c r="K52" s="230"/>
      <c r="L52" s="193"/>
      <c r="M52" s="193"/>
      <c r="N52" s="312"/>
    </row>
    <row r="53" spans="1:22" ht="21" customHeight="1" x14ac:dyDescent="0.25">
      <c r="A53" s="268" t="s">
        <v>75</v>
      </c>
      <c r="B53" s="269"/>
      <c r="C53" s="270"/>
      <c r="D53" s="90">
        <f>D51/C10</f>
        <v>721.79321808510633</v>
      </c>
      <c r="E53" s="162">
        <f>E51/C10</f>
        <v>18.087940425531919</v>
      </c>
      <c r="F53" s="94">
        <f>F51/C10</f>
        <v>12.47328829787234</v>
      </c>
      <c r="G53" s="162">
        <f>G51/C10</f>
        <v>14.652251063829787</v>
      </c>
      <c r="H53" s="95">
        <f>H51/C10</f>
        <v>6.2938000000000001</v>
      </c>
      <c r="I53" s="300">
        <f>I51/C10</f>
        <v>99.514859308510637</v>
      </c>
      <c r="J53" s="300">
        <f>J51/C10</f>
        <v>137.20718085106384</v>
      </c>
      <c r="K53" s="206">
        <f>K51/C10</f>
        <v>0.83780069148936165</v>
      </c>
      <c r="L53" s="193"/>
      <c r="M53" s="193"/>
      <c r="N53" s="312"/>
    </row>
    <row r="54" spans="1:22" ht="21" customHeight="1" x14ac:dyDescent="0.25">
      <c r="A54" s="271"/>
      <c r="B54" s="272"/>
      <c r="C54" s="273"/>
      <c r="D54" s="88"/>
      <c r="E54" s="190">
        <f>E53+F53</f>
        <v>30.561228723404259</v>
      </c>
      <c r="F54" s="191"/>
      <c r="G54" s="190">
        <f>G53+H53</f>
        <v>20.946051063829788</v>
      </c>
      <c r="H54" s="191"/>
      <c r="I54" s="209"/>
      <c r="J54" s="209"/>
      <c r="K54" s="207"/>
      <c r="L54" s="193"/>
      <c r="M54" s="193"/>
      <c r="N54" s="312"/>
      <c r="P54" s="106"/>
      <c r="Q54" s="188"/>
      <c r="R54" s="188"/>
      <c r="S54" s="188"/>
      <c r="T54" s="188"/>
      <c r="U54" s="189"/>
      <c r="V54" s="189"/>
    </row>
    <row r="55" spans="1:22" ht="21" customHeight="1" x14ac:dyDescent="0.25">
      <c r="A55" s="211" t="s">
        <v>76</v>
      </c>
      <c r="B55" s="212"/>
      <c r="C55" s="213"/>
      <c r="D55" s="136" t="s">
        <v>27</v>
      </c>
      <c r="E55" s="184" t="s">
        <v>21</v>
      </c>
      <c r="F55" s="184"/>
      <c r="G55" s="184" t="s">
        <v>22</v>
      </c>
      <c r="H55" s="184"/>
      <c r="I55" s="136" t="s">
        <v>23</v>
      </c>
      <c r="J55" s="159">
        <v>600</v>
      </c>
      <c r="K55" s="159">
        <v>0.74</v>
      </c>
      <c r="L55" s="193"/>
      <c r="M55" s="193"/>
      <c r="N55" s="312"/>
      <c r="O55" s="147"/>
      <c r="P55" s="154"/>
      <c r="Q55" s="188"/>
      <c r="R55" s="188"/>
      <c r="S55" s="188"/>
      <c r="T55" s="188"/>
      <c r="U55" s="188"/>
      <c r="V55" s="188"/>
    </row>
    <row r="56" spans="1:22" ht="21" customHeight="1" x14ac:dyDescent="0.25">
      <c r="A56" s="180" t="s">
        <v>69</v>
      </c>
      <c r="B56" s="185"/>
      <c r="C56" s="181"/>
      <c r="D56" s="16"/>
      <c r="E56" s="186">
        <f>E54*4.1</f>
        <v>125.30103776595745</v>
      </c>
      <c r="F56" s="187"/>
      <c r="G56" s="186">
        <f>G54*9</f>
        <v>188.51445957446811</v>
      </c>
      <c r="H56" s="187"/>
      <c r="I56" s="60">
        <f>I53*4.1</f>
        <v>408.0109231648936</v>
      </c>
      <c r="J56" s="197"/>
      <c r="K56" s="197"/>
      <c r="L56" s="193"/>
      <c r="M56" s="193"/>
      <c r="N56" s="312"/>
      <c r="O56" s="147"/>
      <c r="P56" s="151"/>
      <c r="Q56" s="152"/>
      <c r="R56" s="152"/>
      <c r="S56" s="152"/>
      <c r="T56" s="106"/>
      <c r="U56" s="106"/>
      <c r="V56" s="106"/>
    </row>
    <row r="57" spans="1:22" ht="21" customHeight="1" x14ac:dyDescent="0.25">
      <c r="A57" s="176" t="s">
        <v>70</v>
      </c>
      <c r="B57" s="177"/>
      <c r="C57" s="180" t="s">
        <v>58</v>
      </c>
      <c r="D57" s="181"/>
      <c r="E57" s="266">
        <f>E56*100/D53</f>
        <v>17.359686212954035</v>
      </c>
      <c r="F57" s="267"/>
      <c r="G57" s="266">
        <f>G56*100/D53</f>
        <v>26.11751604906884</v>
      </c>
      <c r="H57" s="267"/>
      <c r="I57" s="76">
        <f>I56*100/D53</f>
        <v>56.527397728581207</v>
      </c>
      <c r="J57" s="198"/>
      <c r="K57" s="198"/>
      <c r="L57" s="193"/>
      <c r="M57" s="193"/>
      <c r="N57" s="312"/>
      <c r="O57" s="147"/>
      <c r="P57" s="106"/>
      <c r="Q57" s="153"/>
      <c r="R57" s="106"/>
      <c r="S57" s="106"/>
      <c r="T57" s="106"/>
      <c r="U57" s="106"/>
      <c r="V57" s="106"/>
    </row>
    <row r="58" spans="1:22" ht="21" customHeight="1" x14ac:dyDescent="0.25">
      <c r="A58" s="178"/>
      <c r="B58" s="179"/>
      <c r="C58" s="180" t="s">
        <v>71</v>
      </c>
      <c r="D58" s="181"/>
      <c r="E58" s="180" t="s">
        <v>72</v>
      </c>
      <c r="F58" s="181"/>
      <c r="G58" s="180" t="s">
        <v>73</v>
      </c>
      <c r="H58" s="181"/>
      <c r="I58" s="136" t="s">
        <v>74</v>
      </c>
      <c r="J58" s="199"/>
      <c r="K58" s="199"/>
      <c r="L58" s="193"/>
      <c r="M58" s="193"/>
      <c r="N58" s="312"/>
      <c r="O58" s="147"/>
      <c r="P58" s="2"/>
    </row>
    <row r="59" spans="1:22" ht="21" customHeight="1" x14ac:dyDescent="0.25">
      <c r="A59" s="63"/>
      <c r="B59" s="64"/>
      <c r="C59" s="63"/>
      <c r="D59" s="63"/>
      <c r="E59" s="63"/>
      <c r="F59" s="63"/>
      <c r="G59" s="63"/>
      <c r="H59" s="63"/>
      <c r="I59" s="63"/>
      <c r="J59" s="63"/>
      <c r="K59" s="63"/>
      <c r="L59" s="65"/>
      <c r="M59" s="65"/>
      <c r="N59" s="66"/>
      <c r="O59" s="147"/>
    </row>
    <row r="60" spans="1:22" ht="21" customHeight="1" x14ac:dyDescent="0.25">
      <c r="A60" s="172" t="s">
        <v>100</v>
      </c>
      <c r="B60" s="172"/>
      <c r="C60" s="172"/>
      <c r="D60" s="172"/>
      <c r="E60" s="172"/>
      <c r="F60" s="172"/>
      <c r="G60" s="172"/>
      <c r="H60" s="172"/>
      <c r="I60" s="172"/>
      <c r="J60" s="172"/>
      <c r="K60" s="172"/>
      <c r="L60" s="172"/>
      <c r="M60" s="172"/>
      <c r="N60" s="172"/>
      <c r="O60" s="147"/>
    </row>
    <row r="61" spans="1:22" ht="21" customHeight="1" x14ac:dyDescent="0.25">
      <c r="A61" s="77" t="s">
        <v>101</v>
      </c>
      <c r="B61" s="173" t="s">
        <v>116</v>
      </c>
      <c r="C61" s="173"/>
      <c r="D61" s="173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47"/>
    </row>
    <row r="62" spans="1:22" ht="21" customHeight="1" x14ac:dyDescent="0.25">
      <c r="A62" s="78"/>
      <c r="B62" s="174" t="s">
        <v>187</v>
      </c>
      <c r="C62" s="174"/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47"/>
    </row>
    <row r="63" spans="1:22" ht="21" customHeight="1" x14ac:dyDescent="0.25">
      <c r="A63" s="78"/>
      <c r="B63" s="174" t="s">
        <v>188</v>
      </c>
      <c r="C63" s="174"/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47"/>
    </row>
    <row r="64" spans="1:22" ht="21" customHeight="1" x14ac:dyDescent="0.25">
      <c r="A64" s="78"/>
      <c r="B64" s="174" t="s">
        <v>133</v>
      </c>
      <c r="C64" s="174"/>
      <c r="D64" s="174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47"/>
    </row>
    <row r="65" spans="1:15" ht="21" customHeight="1" x14ac:dyDescent="0.25">
      <c r="A65" s="63"/>
      <c r="B65" s="175" t="s">
        <v>107</v>
      </c>
      <c r="C65" s="175"/>
      <c r="D65" s="175"/>
      <c r="E65" s="175"/>
      <c r="F65" s="175"/>
      <c r="G65" s="175"/>
      <c r="H65" s="175"/>
      <c r="I65" s="175"/>
      <c r="J65" s="175"/>
      <c r="K65" s="175"/>
      <c r="L65" s="175"/>
      <c r="M65" s="175"/>
      <c r="N65" s="175"/>
      <c r="O65" s="147"/>
    </row>
    <row r="66" spans="1:15" ht="21" customHeight="1" x14ac:dyDescent="0.25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79"/>
      <c r="M66" s="79"/>
      <c r="N66" s="80"/>
      <c r="O66" s="147"/>
    </row>
    <row r="67" spans="1:15" ht="21" customHeight="1" x14ac:dyDescent="0.25">
      <c r="A67" s="168" t="s">
        <v>60</v>
      </c>
      <c r="B67" s="168"/>
      <c r="C67" s="168"/>
      <c r="D67" s="168"/>
      <c r="E67" s="148"/>
      <c r="F67" s="148"/>
      <c r="G67" s="148"/>
      <c r="H67" s="148"/>
      <c r="I67" s="148"/>
      <c r="J67" s="169" t="s">
        <v>36</v>
      </c>
      <c r="K67" s="169"/>
      <c r="L67" s="169"/>
      <c r="M67" s="169"/>
      <c r="N67" s="169"/>
      <c r="O67" s="147"/>
    </row>
    <row r="68" spans="1:15" ht="21" customHeight="1" x14ac:dyDescent="0.25">
      <c r="A68" s="132"/>
      <c r="B68" s="132"/>
      <c r="C68" s="132"/>
      <c r="D68" s="148"/>
      <c r="E68" s="148"/>
      <c r="F68" s="148"/>
      <c r="G68" s="148"/>
      <c r="H68" s="149"/>
      <c r="I68" s="149"/>
      <c r="J68" s="149"/>
      <c r="K68" s="149"/>
      <c r="L68" s="149"/>
      <c r="M68" s="149"/>
      <c r="N68" s="149"/>
      <c r="O68" s="147"/>
    </row>
    <row r="69" spans="1:15" ht="21" customHeight="1" x14ac:dyDescent="0.25">
      <c r="A69" s="132"/>
      <c r="B69" s="132"/>
      <c r="C69" s="132"/>
      <c r="D69" s="148"/>
      <c r="E69" s="148"/>
      <c r="F69" s="148"/>
      <c r="G69" s="148"/>
      <c r="H69" s="149"/>
      <c r="I69" s="149"/>
      <c r="J69" s="149"/>
      <c r="K69" s="149"/>
      <c r="L69" s="149"/>
      <c r="M69" s="149"/>
      <c r="N69" s="149"/>
      <c r="O69" s="147"/>
    </row>
    <row r="70" spans="1:15" ht="21" customHeight="1" x14ac:dyDescent="0.25">
      <c r="A70" s="132"/>
      <c r="B70" s="132"/>
      <c r="C70" s="132"/>
      <c r="D70" s="148"/>
      <c r="E70" s="148"/>
      <c r="F70" s="148"/>
      <c r="G70" s="148"/>
      <c r="H70" s="149"/>
      <c r="I70" s="149"/>
      <c r="J70" s="170" t="s">
        <v>103</v>
      </c>
      <c r="K70" s="170"/>
      <c r="L70" s="170"/>
      <c r="M70" s="170"/>
      <c r="N70" s="170"/>
      <c r="O70" s="147"/>
    </row>
    <row r="71" spans="1:15" ht="21" customHeight="1" x14ac:dyDescent="0.25">
      <c r="A71" s="171" t="s">
        <v>84</v>
      </c>
      <c r="B71" s="171"/>
      <c r="C71" s="171"/>
      <c r="D71" s="171"/>
      <c r="E71" s="148"/>
      <c r="F71" s="148"/>
      <c r="G71" s="148"/>
      <c r="H71" s="149"/>
      <c r="I71" s="149"/>
      <c r="J71" s="170"/>
      <c r="K71" s="170"/>
      <c r="L71" s="170"/>
      <c r="M71" s="170"/>
      <c r="N71" s="170"/>
      <c r="O71" s="147"/>
    </row>
    <row r="72" spans="1:15" ht="21" customHeight="1" x14ac:dyDescent="0.25">
      <c r="A72" s="132"/>
      <c r="B72" s="132"/>
      <c r="C72" s="132"/>
      <c r="D72" s="148"/>
      <c r="E72" s="148"/>
      <c r="F72" s="148"/>
      <c r="G72" s="148"/>
      <c r="H72" s="149"/>
      <c r="I72" s="149"/>
      <c r="J72" s="149"/>
      <c r="K72" s="149"/>
      <c r="L72" s="149"/>
      <c r="M72" s="149"/>
      <c r="N72" s="149"/>
      <c r="O72" s="147"/>
    </row>
    <row r="73" spans="1:15" ht="21" customHeight="1" x14ac:dyDescent="0.25">
      <c r="A73" s="132"/>
      <c r="B73" s="132"/>
      <c r="C73" s="132"/>
      <c r="D73" s="148"/>
      <c r="E73" s="148"/>
      <c r="F73" s="148"/>
      <c r="G73" s="148"/>
      <c r="H73" s="149"/>
      <c r="I73" s="149"/>
      <c r="J73" s="170" t="s">
        <v>114</v>
      </c>
      <c r="K73" s="170"/>
      <c r="L73" s="170"/>
      <c r="M73" s="170"/>
      <c r="N73" s="170"/>
      <c r="O73" s="147"/>
    </row>
    <row r="74" spans="1:15" ht="21" customHeight="1" x14ac:dyDescent="0.25">
      <c r="A74" s="132"/>
      <c r="B74" s="132"/>
      <c r="C74" s="132"/>
      <c r="D74" s="148"/>
      <c r="E74" s="148"/>
      <c r="F74" s="148"/>
      <c r="G74" s="148"/>
      <c r="H74" s="149"/>
      <c r="I74" s="149"/>
      <c r="J74" s="149"/>
      <c r="K74" s="149"/>
      <c r="L74" s="149"/>
      <c r="M74" s="149"/>
      <c r="N74" s="149"/>
      <c r="O74" s="147"/>
    </row>
    <row r="75" spans="1:15" ht="21" customHeight="1" x14ac:dyDescent="0.25">
      <c r="A75" s="132"/>
      <c r="B75" s="132"/>
      <c r="C75" s="132"/>
      <c r="D75" s="148"/>
      <c r="E75" s="148"/>
      <c r="F75" s="148"/>
      <c r="G75" s="148"/>
      <c r="H75" s="149"/>
      <c r="I75" s="149"/>
      <c r="J75" s="149"/>
      <c r="K75" s="149"/>
      <c r="L75" s="149"/>
      <c r="M75" s="149"/>
      <c r="N75" s="149"/>
      <c r="O75" s="147"/>
    </row>
    <row r="76" spans="1:15" ht="21" customHeight="1" x14ac:dyDescent="0.25">
      <c r="A76" s="132"/>
      <c r="B76" s="132"/>
      <c r="C76" s="132"/>
      <c r="D76" s="148"/>
      <c r="E76" s="148"/>
      <c r="F76" s="148"/>
      <c r="G76" s="148"/>
      <c r="H76" s="149"/>
      <c r="I76" s="149"/>
      <c r="J76" s="149"/>
      <c r="K76" s="149"/>
      <c r="L76" s="149"/>
      <c r="M76" s="149"/>
      <c r="N76" s="149"/>
      <c r="O76" s="147"/>
    </row>
    <row r="77" spans="1:15" ht="21" customHeight="1" x14ac:dyDescent="0.25">
      <c r="A77" s="132"/>
      <c r="B77" s="132"/>
      <c r="C77" s="132"/>
      <c r="D77" s="148"/>
      <c r="E77" s="148"/>
      <c r="F77" s="148"/>
      <c r="G77" s="148"/>
      <c r="H77" s="149"/>
      <c r="I77" s="149"/>
      <c r="J77" s="149"/>
      <c r="K77" s="149"/>
      <c r="L77" s="149"/>
      <c r="M77" s="149"/>
      <c r="N77" s="149"/>
      <c r="O77" s="147"/>
    </row>
    <row r="78" spans="1:15" ht="21" customHeight="1" x14ac:dyDescent="0.25">
      <c r="A78" s="132"/>
      <c r="B78" s="132"/>
      <c r="C78" s="132"/>
      <c r="D78" s="148"/>
      <c r="E78" s="148"/>
      <c r="F78" s="148"/>
      <c r="G78" s="148"/>
      <c r="H78" s="149"/>
      <c r="I78" s="149"/>
      <c r="J78" s="149"/>
      <c r="K78" s="149"/>
      <c r="L78" s="149"/>
      <c r="M78" s="149"/>
      <c r="N78" s="149"/>
      <c r="O78" s="147"/>
    </row>
    <row r="79" spans="1:15" ht="21" customHeight="1" x14ac:dyDescent="0.25">
      <c r="A79" s="132"/>
      <c r="B79" s="132"/>
      <c r="C79" s="132"/>
      <c r="D79" s="148"/>
      <c r="E79" s="148"/>
      <c r="F79" s="148"/>
      <c r="G79" s="148"/>
      <c r="H79" s="149"/>
      <c r="I79" s="149"/>
      <c r="J79" s="149"/>
      <c r="K79" s="149"/>
      <c r="L79" s="149"/>
      <c r="M79" s="149"/>
      <c r="N79" s="149"/>
      <c r="O79" s="147"/>
    </row>
    <row r="80" spans="1:15" ht="21" customHeight="1" x14ac:dyDescent="0.25">
      <c r="A80" s="132"/>
      <c r="B80" s="132"/>
      <c r="C80" s="132"/>
      <c r="D80" s="148"/>
      <c r="E80" s="148"/>
      <c r="F80" s="148"/>
      <c r="G80" s="148"/>
      <c r="H80" s="149"/>
      <c r="I80" s="149"/>
      <c r="J80" s="149"/>
      <c r="K80" s="149"/>
      <c r="L80" s="149"/>
      <c r="M80" s="149"/>
      <c r="N80" s="149"/>
      <c r="O80" s="147"/>
    </row>
    <row r="81" spans="1:16" ht="21" customHeight="1" x14ac:dyDescent="0.25">
      <c r="A81" s="132"/>
      <c r="B81" s="132"/>
      <c r="C81" s="132"/>
      <c r="D81" s="148"/>
      <c r="E81" s="148"/>
      <c r="F81" s="148"/>
      <c r="G81" s="148"/>
      <c r="H81" s="149"/>
      <c r="I81" s="149"/>
      <c r="J81" s="149"/>
      <c r="K81" s="149"/>
      <c r="L81" s="149"/>
      <c r="M81" s="149"/>
      <c r="N81" s="149"/>
      <c r="O81" s="147"/>
    </row>
    <row r="82" spans="1:16" ht="21" customHeight="1" x14ac:dyDescent="0.25">
      <c r="A82" s="132"/>
      <c r="B82" s="132"/>
      <c r="C82" s="132"/>
      <c r="D82" s="148"/>
      <c r="E82" s="148"/>
      <c r="F82" s="148"/>
      <c r="G82" s="148"/>
      <c r="H82" s="149"/>
      <c r="I82" s="149"/>
      <c r="J82" s="149"/>
      <c r="K82" s="149"/>
      <c r="L82" s="149"/>
      <c r="M82" s="149"/>
      <c r="N82" s="149"/>
      <c r="O82" s="147"/>
    </row>
    <row r="83" spans="1:16" s="106" customFormat="1" ht="18" customHeight="1" x14ac:dyDescent="0.3">
      <c r="A83" s="104" t="s">
        <v>59</v>
      </c>
      <c r="B83" s="105"/>
      <c r="C83" s="105"/>
      <c r="D83" s="105"/>
      <c r="E83" s="105"/>
      <c r="F83" s="306" t="s">
        <v>31</v>
      </c>
      <c r="G83" s="306"/>
      <c r="H83" s="306"/>
      <c r="I83" s="306"/>
      <c r="J83" s="306"/>
      <c r="K83" s="306"/>
      <c r="L83" s="306"/>
      <c r="M83" s="306"/>
      <c r="N83" s="306"/>
      <c r="O83" s="163"/>
      <c r="P83" s="163"/>
    </row>
    <row r="84" spans="1:16" ht="18" customHeight="1" x14ac:dyDescent="0.3">
      <c r="A84" s="6" t="s">
        <v>186</v>
      </c>
      <c r="B84" s="6"/>
      <c r="C84" s="6"/>
      <c r="D84" s="6"/>
      <c r="E84" s="6"/>
      <c r="F84" s="135"/>
      <c r="G84" s="135"/>
      <c r="H84" s="135"/>
      <c r="I84" s="135"/>
      <c r="J84" s="135"/>
      <c r="K84" s="135"/>
      <c r="L84" s="135"/>
      <c r="M84" s="135"/>
      <c r="N84" s="135"/>
      <c r="O84" s="138"/>
      <c r="P84" s="138"/>
    </row>
    <row r="85" spans="1:16" ht="13.15" customHeight="1" x14ac:dyDescent="0.25">
      <c r="A85" s="184" t="s">
        <v>95</v>
      </c>
      <c r="B85" s="184"/>
      <c r="C85" s="184"/>
      <c r="D85" s="184"/>
      <c r="E85" s="184" t="s">
        <v>82</v>
      </c>
      <c r="F85" s="184"/>
      <c r="G85" s="184"/>
      <c r="H85" s="184"/>
      <c r="I85" s="184"/>
      <c r="J85" s="184"/>
      <c r="K85" s="184"/>
      <c r="L85" s="184"/>
      <c r="M85" s="184"/>
      <c r="N85" s="184"/>
      <c r="O85" s="139"/>
    </row>
    <row r="86" spans="1:16" ht="18" customHeight="1" x14ac:dyDescent="0.25">
      <c r="A86" s="184"/>
      <c r="B86" s="184"/>
      <c r="C86" s="184"/>
      <c r="D86" s="184"/>
      <c r="E86" s="184" t="s">
        <v>94</v>
      </c>
      <c r="F86" s="184"/>
      <c r="G86" s="184"/>
      <c r="H86" s="184"/>
      <c r="I86" s="184"/>
      <c r="J86" s="184" t="s">
        <v>96</v>
      </c>
      <c r="K86" s="184"/>
      <c r="L86" s="184"/>
      <c r="M86" s="184"/>
      <c r="N86" s="184"/>
      <c r="O86" s="139"/>
    </row>
    <row r="87" spans="1:16" ht="18" customHeight="1" x14ac:dyDescent="0.25">
      <c r="A87" s="252" t="s">
        <v>83</v>
      </c>
      <c r="B87" s="252"/>
      <c r="C87" s="252"/>
      <c r="D87" s="252"/>
      <c r="E87" s="253" t="s">
        <v>154</v>
      </c>
      <c r="F87" s="253"/>
      <c r="G87" s="253"/>
      <c r="H87" s="253"/>
      <c r="I87" s="253"/>
      <c r="J87" s="254" t="s">
        <v>83</v>
      </c>
      <c r="K87" s="255"/>
      <c r="L87" s="255"/>
      <c r="M87" s="255"/>
      <c r="N87" s="256"/>
      <c r="O87" s="139"/>
    </row>
    <row r="88" spans="1:16" ht="18" customHeight="1" x14ac:dyDescent="0.25">
      <c r="A88" s="308" t="s">
        <v>141</v>
      </c>
      <c r="B88" s="309"/>
      <c r="C88" s="309"/>
      <c r="D88" s="310"/>
      <c r="E88" s="253"/>
      <c r="F88" s="253"/>
      <c r="G88" s="253"/>
      <c r="H88" s="253"/>
      <c r="I88" s="253"/>
      <c r="J88" s="293" t="s">
        <v>88</v>
      </c>
      <c r="K88" s="294"/>
      <c r="L88" s="294"/>
      <c r="M88" s="294"/>
      <c r="N88" s="294"/>
      <c r="O88" s="139"/>
    </row>
    <row r="89" spans="1:16" ht="18" customHeight="1" x14ac:dyDescent="0.25">
      <c r="A89" s="311" t="s">
        <v>140</v>
      </c>
      <c r="B89" s="311"/>
      <c r="C89" s="311"/>
      <c r="D89" s="311"/>
      <c r="E89" s="253"/>
      <c r="F89" s="253"/>
      <c r="G89" s="253"/>
      <c r="H89" s="253"/>
      <c r="I89" s="253"/>
      <c r="J89" s="262" t="s">
        <v>89</v>
      </c>
      <c r="K89" s="263"/>
      <c r="L89" s="263"/>
      <c r="M89" s="263"/>
      <c r="N89" s="264"/>
      <c r="O89" s="139"/>
    </row>
    <row r="90" spans="1:16" ht="18" customHeight="1" x14ac:dyDescent="0.3">
      <c r="A90" s="303" t="s">
        <v>110</v>
      </c>
      <c r="B90" s="303"/>
      <c r="C90" s="305">
        <v>47</v>
      </c>
      <c r="D90" s="305"/>
      <c r="E90" s="6"/>
      <c r="F90" s="135"/>
      <c r="G90" s="135"/>
      <c r="H90" s="135"/>
      <c r="I90" s="135"/>
      <c r="J90" s="135"/>
      <c r="K90" s="135"/>
      <c r="L90" s="135"/>
      <c r="M90" s="135"/>
      <c r="N90" s="135"/>
      <c r="O90" s="138"/>
      <c r="P90" s="138"/>
    </row>
    <row r="91" spans="1:16" ht="18" customHeight="1" x14ac:dyDescent="0.25">
      <c r="A91" s="233" t="s">
        <v>0</v>
      </c>
      <c r="B91" s="238" t="s">
        <v>19</v>
      </c>
      <c r="C91" s="238" t="s">
        <v>8</v>
      </c>
      <c r="D91" s="238" t="s">
        <v>9</v>
      </c>
      <c r="E91" s="241" t="s">
        <v>11</v>
      </c>
      <c r="F91" s="242"/>
      <c r="G91" s="241" t="s">
        <v>13</v>
      </c>
      <c r="H91" s="242"/>
      <c r="I91" s="233" t="s">
        <v>16</v>
      </c>
      <c r="J91" s="233" t="s">
        <v>32</v>
      </c>
      <c r="K91" s="233" t="s">
        <v>33</v>
      </c>
      <c r="L91" s="233" t="s">
        <v>17</v>
      </c>
      <c r="M91" s="233" t="s">
        <v>34</v>
      </c>
      <c r="N91" s="233" t="s">
        <v>18</v>
      </c>
      <c r="O91" s="140"/>
    </row>
    <row r="92" spans="1:16" ht="18" customHeight="1" x14ac:dyDescent="0.25">
      <c r="A92" s="236"/>
      <c r="B92" s="239"/>
      <c r="C92" s="239"/>
      <c r="D92" s="239"/>
      <c r="E92" s="243"/>
      <c r="F92" s="244"/>
      <c r="G92" s="243"/>
      <c r="H92" s="244"/>
      <c r="I92" s="234"/>
      <c r="J92" s="234"/>
      <c r="K92" s="234"/>
      <c r="L92" s="234"/>
      <c r="M92" s="234"/>
      <c r="N92" s="236"/>
      <c r="O92" s="132"/>
    </row>
    <row r="93" spans="1:16" ht="18" customHeight="1" x14ac:dyDescent="0.25">
      <c r="A93" s="236"/>
      <c r="B93" s="239"/>
      <c r="C93" s="239"/>
      <c r="D93" s="239"/>
      <c r="E93" s="233" t="s">
        <v>10</v>
      </c>
      <c r="F93" s="233" t="s">
        <v>12</v>
      </c>
      <c r="G93" s="233" t="s">
        <v>14</v>
      </c>
      <c r="H93" s="233" t="s">
        <v>15</v>
      </c>
      <c r="I93" s="234"/>
      <c r="J93" s="234"/>
      <c r="K93" s="234"/>
      <c r="L93" s="234"/>
      <c r="M93" s="234"/>
      <c r="N93" s="236"/>
      <c r="O93" s="132"/>
    </row>
    <row r="94" spans="1:16" ht="18" customHeight="1" x14ac:dyDescent="0.25">
      <c r="A94" s="237"/>
      <c r="B94" s="240"/>
      <c r="C94" s="240"/>
      <c r="D94" s="240"/>
      <c r="E94" s="235"/>
      <c r="F94" s="235"/>
      <c r="G94" s="235"/>
      <c r="H94" s="235"/>
      <c r="I94" s="235"/>
      <c r="J94" s="235"/>
      <c r="K94" s="235"/>
      <c r="L94" s="235"/>
      <c r="M94" s="235"/>
      <c r="N94" s="237"/>
      <c r="O94" s="132"/>
    </row>
    <row r="95" spans="1:16" ht="18" customHeight="1" x14ac:dyDescent="0.25">
      <c r="A95" s="246" t="s">
        <v>42</v>
      </c>
      <c r="B95" s="247"/>
      <c r="C95" s="247"/>
      <c r="D95" s="247"/>
      <c r="E95" s="247"/>
      <c r="F95" s="247"/>
      <c r="G95" s="247"/>
      <c r="H95" s="247"/>
      <c r="I95" s="247"/>
      <c r="J95" s="247"/>
      <c r="K95" s="247"/>
      <c r="L95" s="247"/>
      <c r="M95" s="247"/>
      <c r="N95" s="248"/>
      <c r="O95" s="132"/>
    </row>
    <row r="96" spans="1:16" ht="18" customHeight="1" x14ac:dyDescent="0.25">
      <c r="A96" s="7">
        <v>1</v>
      </c>
      <c r="B96" s="8" t="s">
        <v>2</v>
      </c>
      <c r="C96" s="10">
        <f t="shared" ref="C96:C99" si="4">L96/100*100</f>
        <v>30</v>
      </c>
      <c r="D96" s="11">
        <f>C96/100*60</f>
        <v>18</v>
      </c>
      <c r="E96" s="12">
        <f>C96/100*15</f>
        <v>4.5</v>
      </c>
      <c r="F96" s="12"/>
      <c r="G96" s="12"/>
      <c r="H96" s="12"/>
      <c r="I96" s="12"/>
      <c r="J96" s="19">
        <f>C96/100*387</f>
        <v>116.1</v>
      </c>
      <c r="K96" s="19">
        <f>C96/100*0.09</f>
        <v>2.7E-2</v>
      </c>
      <c r="L96" s="99">
        <v>30</v>
      </c>
      <c r="M96" s="17">
        <v>20</v>
      </c>
      <c r="N96" s="10">
        <f>L96*M96</f>
        <v>600</v>
      </c>
      <c r="O96" s="3"/>
    </row>
    <row r="97" spans="1:20" ht="18" customHeight="1" x14ac:dyDescent="0.25">
      <c r="A97" s="7">
        <v>2</v>
      </c>
      <c r="B97" s="8" t="s">
        <v>119</v>
      </c>
      <c r="C97" s="10">
        <f t="shared" si="4"/>
        <v>280</v>
      </c>
      <c r="D97" s="11">
        <f>C97/100*53</f>
        <v>148.39999999999998</v>
      </c>
      <c r="E97" s="12"/>
      <c r="F97" s="12">
        <f>C97/100*6.3</f>
        <v>17.639999999999997</v>
      </c>
      <c r="G97" s="12"/>
      <c r="H97" s="12">
        <f>C97/100*0.04</f>
        <v>0.11199999999999999</v>
      </c>
      <c r="I97" s="12">
        <f>C97/100*6.8</f>
        <v>19.04</v>
      </c>
      <c r="J97" s="19">
        <f>C97/100*19</f>
        <v>53.199999999999996</v>
      </c>
      <c r="K97" s="19">
        <f>C97/100*0.03</f>
        <v>8.3999999999999991E-2</v>
      </c>
      <c r="L97" s="99">
        <v>280</v>
      </c>
      <c r="M97" s="17">
        <v>42.5</v>
      </c>
      <c r="N97" s="10">
        <f t="shared" ref="N97:N105" si="5">L97*M97</f>
        <v>11900</v>
      </c>
      <c r="O97" s="146"/>
    </row>
    <row r="98" spans="1:20" ht="18" customHeight="1" x14ac:dyDescent="0.25">
      <c r="A98" s="7">
        <v>3</v>
      </c>
      <c r="B98" s="8" t="s">
        <v>126</v>
      </c>
      <c r="C98" s="10">
        <f t="shared" si="4"/>
        <v>260</v>
      </c>
      <c r="D98" s="57">
        <f>C98/100*900</f>
        <v>2340</v>
      </c>
      <c r="E98" s="12"/>
      <c r="F98" s="12"/>
      <c r="G98" s="81"/>
      <c r="H98" s="12">
        <f>C98/100*100</f>
        <v>260</v>
      </c>
      <c r="I98" s="12"/>
      <c r="J98" s="12"/>
      <c r="K98" s="12"/>
      <c r="L98" s="99">
        <v>260</v>
      </c>
      <c r="M98" s="57">
        <v>63.5</v>
      </c>
      <c r="N98" s="83">
        <f t="shared" si="5"/>
        <v>16510</v>
      </c>
      <c r="O98" s="141"/>
    </row>
    <row r="99" spans="1:20" ht="18" customHeight="1" x14ac:dyDescent="0.25">
      <c r="A99" s="7">
        <v>4</v>
      </c>
      <c r="B99" s="4" t="s">
        <v>1</v>
      </c>
      <c r="C99" s="10">
        <f t="shared" si="4"/>
        <v>2021</v>
      </c>
      <c r="D99" s="11">
        <f>C99/100*344</f>
        <v>6952.2400000000007</v>
      </c>
      <c r="E99" s="12"/>
      <c r="F99" s="12">
        <f>C99/100*7.9</f>
        <v>159.65900000000002</v>
      </c>
      <c r="G99" s="12"/>
      <c r="H99" s="12">
        <f>C99/100*1</f>
        <v>20.21</v>
      </c>
      <c r="I99" s="81">
        <f>C99/100*72</f>
        <v>1455.1200000000001</v>
      </c>
      <c r="J99" s="19">
        <f>C99/100*30</f>
        <v>606.30000000000007</v>
      </c>
      <c r="K99" s="19">
        <f>C99/100*0.1</f>
        <v>2.0210000000000004</v>
      </c>
      <c r="L99" s="99">
        <v>2021</v>
      </c>
      <c r="M99" s="17">
        <v>18</v>
      </c>
      <c r="N99" s="10">
        <f t="shared" si="5"/>
        <v>36378</v>
      </c>
      <c r="O99" s="3"/>
    </row>
    <row r="100" spans="1:20" ht="18" customHeight="1" x14ac:dyDescent="0.25">
      <c r="A100" s="7">
        <v>5</v>
      </c>
      <c r="B100" s="8" t="s">
        <v>128</v>
      </c>
      <c r="C100" s="10">
        <f>L100/100*90</f>
        <v>36</v>
      </c>
      <c r="D100" s="11">
        <f>C100/100*281</f>
        <v>101.16</v>
      </c>
      <c r="E100" s="12"/>
      <c r="F100" s="12">
        <f>C100/100*9.5</f>
        <v>3.42</v>
      </c>
      <c r="G100" s="12"/>
      <c r="H100" s="12">
        <f>C100/100*0.2</f>
        <v>7.1999999999999995E-2</v>
      </c>
      <c r="I100" s="12">
        <f>D100/100*58.5</f>
        <v>59.178600000000003</v>
      </c>
      <c r="J100" s="19">
        <f>C100/100*321</f>
        <v>115.56</v>
      </c>
      <c r="K100" s="19">
        <f>C100/100*0.14</f>
        <v>5.04E-2</v>
      </c>
      <c r="L100" s="99">
        <v>40</v>
      </c>
      <c r="M100" s="38">
        <v>120</v>
      </c>
      <c r="N100" s="10">
        <f t="shared" si="5"/>
        <v>4800</v>
      </c>
      <c r="O100" s="146"/>
    </row>
    <row r="101" spans="1:20" ht="18" customHeight="1" x14ac:dyDescent="0.25">
      <c r="A101" s="7">
        <v>6</v>
      </c>
      <c r="B101" s="4" t="s">
        <v>142</v>
      </c>
      <c r="C101" s="10">
        <f>L101/100*31</f>
        <v>220.1</v>
      </c>
      <c r="D101" s="11">
        <f>C101/100*87</f>
        <v>191.48699999999999</v>
      </c>
      <c r="E101" s="12">
        <f>C101/100*12.3</f>
        <v>27.072300000000002</v>
      </c>
      <c r="F101" s="12"/>
      <c r="G101" s="12">
        <f>C101/100*3.3</f>
        <v>7.2633000000000001</v>
      </c>
      <c r="H101" s="12"/>
      <c r="I101" s="12">
        <f>C101/100*2</f>
        <v>4.4020000000000001</v>
      </c>
      <c r="J101" s="56">
        <f>C101/100*1120</f>
        <v>2465.12</v>
      </c>
      <c r="K101" s="19">
        <f>C101/100*0.01</f>
        <v>2.2010000000000002E-2</v>
      </c>
      <c r="L101" s="99">
        <v>710</v>
      </c>
      <c r="M101" s="17">
        <v>160</v>
      </c>
      <c r="N101" s="83">
        <f t="shared" si="5"/>
        <v>113600</v>
      </c>
      <c r="O101" s="3"/>
      <c r="Q101" s="2"/>
      <c r="R101" s="2"/>
      <c r="S101" s="3"/>
    </row>
    <row r="102" spans="1:20" ht="18" customHeight="1" x14ac:dyDescent="0.25">
      <c r="A102" s="7">
        <v>7</v>
      </c>
      <c r="B102" s="4" t="s">
        <v>3</v>
      </c>
      <c r="C102" s="10">
        <f>L102/100*48</f>
        <v>864</v>
      </c>
      <c r="D102" s="11">
        <f>C102/100*199</f>
        <v>1719.3600000000001</v>
      </c>
      <c r="E102" s="12">
        <f>C102/100*20.3</f>
        <v>175.39200000000002</v>
      </c>
      <c r="F102" s="12"/>
      <c r="G102" s="12">
        <f>C102/100*13.1</f>
        <v>113.184</v>
      </c>
      <c r="H102" s="12"/>
      <c r="I102" s="12"/>
      <c r="J102" s="19">
        <f>C102/100*12</f>
        <v>103.68</v>
      </c>
      <c r="K102" s="19">
        <f>C102/100*0.15</f>
        <v>1.296</v>
      </c>
      <c r="L102" s="99">
        <v>1800</v>
      </c>
      <c r="M102" s="13">
        <v>84</v>
      </c>
      <c r="N102" s="10">
        <f t="shared" si="5"/>
        <v>151200</v>
      </c>
      <c r="O102" s="3"/>
      <c r="Q102" s="2"/>
      <c r="R102" s="2"/>
      <c r="S102" s="3"/>
    </row>
    <row r="103" spans="1:20" ht="18" customHeight="1" x14ac:dyDescent="0.25">
      <c r="A103" s="7">
        <v>8</v>
      </c>
      <c r="B103" s="8" t="s">
        <v>66</v>
      </c>
      <c r="C103" s="10">
        <f>L103/100*98</f>
        <v>1519</v>
      </c>
      <c r="D103" s="11">
        <f>C103/100*139</f>
        <v>2111.41</v>
      </c>
      <c r="E103" s="12">
        <f>C103/100*19</f>
        <v>288.61</v>
      </c>
      <c r="F103" s="12"/>
      <c r="G103" s="12">
        <f>C103/100*7</f>
        <v>106.33</v>
      </c>
      <c r="H103" s="12"/>
      <c r="I103" s="12"/>
      <c r="J103" s="19">
        <f>C103/100*7</f>
        <v>106.33</v>
      </c>
      <c r="K103" s="19">
        <f>C103/100*0.9</f>
        <v>13.670999999999999</v>
      </c>
      <c r="L103" s="99">
        <v>1550</v>
      </c>
      <c r="M103" s="13">
        <v>130</v>
      </c>
      <c r="N103" s="10">
        <f t="shared" si="5"/>
        <v>201500</v>
      </c>
      <c r="O103" s="3"/>
    </row>
    <row r="104" spans="1:20" ht="18" customHeight="1" x14ac:dyDescent="0.25">
      <c r="A104" s="7">
        <v>9</v>
      </c>
      <c r="B104" s="4" t="s">
        <v>117</v>
      </c>
      <c r="C104" s="10">
        <f>L104/100*100</f>
        <v>40</v>
      </c>
      <c r="D104" s="11">
        <f>C104/100*247</f>
        <v>98.800000000000011</v>
      </c>
      <c r="E104" s="14"/>
      <c r="F104" s="14">
        <f>C104/100*17.5</f>
        <v>7</v>
      </c>
      <c r="G104" s="14"/>
      <c r="H104" s="14">
        <f>C104/100*1.6</f>
        <v>0.64000000000000012</v>
      </c>
      <c r="I104" s="14">
        <f>C104/100*39.2</f>
        <v>15.680000000000001</v>
      </c>
      <c r="J104" s="18"/>
      <c r="K104" s="18"/>
      <c r="L104" s="144">
        <v>40</v>
      </c>
      <c r="M104" s="17">
        <v>50</v>
      </c>
      <c r="N104" s="10">
        <f t="shared" si="5"/>
        <v>2000</v>
      </c>
      <c r="O104" s="3"/>
      <c r="Q104" s="2"/>
      <c r="R104" s="2"/>
      <c r="S104" s="3"/>
      <c r="T104" s="2"/>
    </row>
    <row r="105" spans="1:20" ht="18" customHeight="1" x14ac:dyDescent="0.25">
      <c r="A105" s="7">
        <v>10</v>
      </c>
      <c r="B105" s="4" t="s">
        <v>134</v>
      </c>
      <c r="C105" s="10">
        <f>L105/100*75</f>
        <v>982.5</v>
      </c>
      <c r="D105" s="11">
        <f>C105/100*17</f>
        <v>167.02499999999998</v>
      </c>
      <c r="E105" s="12"/>
      <c r="F105" s="12">
        <f>C105/100*1.4</f>
        <v>13.754999999999999</v>
      </c>
      <c r="G105" s="12"/>
      <c r="H105" s="12">
        <f>C105/100*0.2</f>
        <v>1.9649999999999999</v>
      </c>
      <c r="I105" s="12">
        <f>C105/100*2.4</f>
        <v>23.58</v>
      </c>
      <c r="J105" s="12">
        <f>C105/100*50</f>
        <v>491.24999999999994</v>
      </c>
      <c r="K105" s="12">
        <f>C105/100*0.09</f>
        <v>0.88424999999999987</v>
      </c>
      <c r="L105" s="99">
        <v>1310</v>
      </c>
      <c r="M105" s="17">
        <v>18</v>
      </c>
      <c r="N105" s="10">
        <f t="shared" si="5"/>
        <v>23580</v>
      </c>
      <c r="O105" s="3"/>
    </row>
    <row r="106" spans="1:20" ht="18" customHeight="1" x14ac:dyDescent="0.25">
      <c r="A106" s="7">
        <v>11</v>
      </c>
      <c r="B106" s="8" t="s">
        <v>111</v>
      </c>
      <c r="C106" s="10"/>
      <c r="D106" s="121"/>
      <c r="E106" s="12"/>
      <c r="F106" s="12"/>
      <c r="G106" s="12"/>
      <c r="H106" s="12"/>
      <c r="I106" s="12"/>
      <c r="J106" s="12"/>
      <c r="K106" s="12"/>
      <c r="L106" s="13"/>
      <c r="M106" s="13"/>
      <c r="N106" s="10">
        <v>3000</v>
      </c>
      <c r="O106" s="3"/>
    </row>
    <row r="107" spans="1:20" ht="18" customHeight="1" x14ac:dyDescent="0.25">
      <c r="A107" s="20" t="s">
        <v>104</v>
      </c>
      <c r="B107" s="21"/>
      <c r="C107" s="22"/>
      <c r="D107" s="84">
        <f>SUM(D96:D106)</f>
        <v>13847.882</v>
      </c>
      <c r="E107" s="5"/>
      <c r="F107" s="5"/>
      <c r="G107" s="5"/>
      <c r="H107" s="5"/>
      <c r="I107" s="5"/>
      <c r="J107" s="5"/>
      <c r="K107" s="5"/>
      <c r="L107" s="28"/>
      <c r="M107" s="28"/>
      <c r="N107" s="314">
        <f>SUM(N96:N106)</f>
        <v>565068</v>
      </c>
      <c r="O107" s="3"/>
    </row>
    <row r="108" spans="1:20" ht="18" customHeight="1" x14ac:dyDescent="0.25">
      <c r="A108" s="20" t="s">
        <v>43</v>
      </c>
      <c r="B108" s="21"/>
      <c r="C108" s="29"/>
      <c r="D108" s="30">
        <f>D107/C90</f>
        <v>294.63578723404254</v>
      </c>
      <c r="E108" s="30"/>
      <c r="F108" s="30"/>
      <c r="G108" s="30"/>
      <c r="H108" s="30"/>
      <c r="I108" s="30"/>
      <c r="J108" s="30"/>
      <c r="K108" s="30"/>
      <c r="L108" s="28"/>
      <c r="M108" s="28"/>
      <c r="N108" s="315"/>
      <c r="O108" s="142"/>
    </row>
    <row r="109" spans="1:20" ht="18" customHeight="1" x14ac:dyDescent="0.25">
      <c r="A109" s="307" t="s">
        <v>52</v>
      </c>
      <c r="B109" s="218"/>
      <c r="C109" s="145" t="s">
        <v>132</v>
      </c>
      <c r="D109" s="26" t="s">
        <v>38</v>
      </c>
      <c r="E109" s="30"/>
      <c r="F109" s="30"/>
      <c r="G109" s="30"/>
      <c r="H109" s="30"/>
      <c r="I109" s="30"/>
      <c r="J109" s="31"/>
      <c r="K109" s="31"/>
      <c r="L109" s="28"/>
      <c r="M109" s="28"/>
      <c r="N109" s="137"/>
      <c r="O109" s="3"/>
    </row>
    <row r="110" spans="1:20" ht="18" customHeight="1" x14ac:dyDescent="0.25">
      <c r="A110" s="219"/>
      <c r="B110" s="220"/>
      <c r="C110" s="54" t="s">
        <v>58</v>
      </c>
      <c r="D110" s="26">
        <f>D108*100/930</f>
        <v>31.681267444520703</v>
      </c>
      <c r="E110" s="30"/>
      <c r="F110" s="30"/>
      <c r="G110" s="30"/>
      <c r="H110" s="30"/>
      <c r="I110" s="30"/>
      <c r="J110" s="31"/>
      <c r="K110" s="31"/>
      <c r="L110" s="28"/>
      <c r="M110" s="28"/>
      <c r="N110" s="137"/>
      <c r="O110" s="3"/>
    </row>
    <row r="111" spans="1:20" ht="18" customHeight="1" x14ac:dyDescent="0.3">
      <c r="A111" s="245" t="s">
        <v>45</v>
      </c>
      <c r="B111" s="245"/>
      <c r="C111" s="39"/>
      <c r="D111" s="40"/>
      <c r="E111" s="41"/>
      <c r="F111" s="41"/>
      <c r="G111" s="41"/>
      <c r="H111" s="41"/>
      <c r="I111" s="41"/>
      <c r="J111" s="41"/>
      <c r="K111" s="41"/>
      <c r="L111" s="42"/>
      <c r="M111" s="42"/>
      <c r="N111" s="39"/>
      <c r="O111" s="3"/>
    </row>
    <row r="112" spans="1:20" ht="18" customHeight="1" x14ac:dyDescent="0.25">
      <c r="A112" s="7">
        <v>1</v>
      </c>
      <c r="B112" s="8" t="s">
        <v>2</v>
      </c>
      <c r="C112" s="10">
        <f>L112/100*100</f>
        <v>40</v>
      </c>
      <c r="D112" s="11">
        <f>C112/100*60</f>
        <v>24</v>
      </c>
      <c r="E112" s="12">
        <f>C112/100*15</f>
        <v>6</v>
      </c>
      <c r="F112" s="12"/>
      <c r="G112" s="12"/>
      <c r="H112" s="12"/>
      <c r="I112" s="12"/>
      <c r="J112" s="19">
        <f>C112/100*387</f>
        <v>154.80000000000001</v>
      </c>
      <c r="K112" s="19">
        <f>C112/100*0.09</f>
        <v>3.5999999999999997E-2</v>
      </c>
      <c r="L112" s="99">
        <v>40</v>
      </c>
      <c r="M112" s="17">
        <v>20</v>
      </c>
      <c r="N112" s="10">
        <f>L112*M112</f>
        <v>800</v>
      </c>
      <c r="O112" s="3"/>
    </row>
    <row r="113" spans="1:20" ht="18" customHeight="1" x14ac:dyDescent="0.25">
      <c r="A113" s="7">
        <v>2</v>
      </c>
      <c r="B113" s="8" t="s">
        <v>29</v>
      </c>
      <c r="C113" s="10">
        <f>L113/100*100</f>
        <v>40</v>
      </c>
      <c r="D113" s="11">
        <f>C113/100*390</f>
        <v>156</v>
      </c>
      <c r="E113" s="12"/>
      <c r="F113" s="12"/>
      <c r="G113" s="12"/>
      <c r="H113" s="12"/>
      <c r="I113" s="12">
        <f>C113/100*97.4</f>
        <v>38.960000000000008</v>
      </c>
      <c r="J113" s="19">
        <f>C113/100*178</f>
        <v>71.2</v>
      </c>
      <c r="K113" s="19">
        <f>C113/100*0.05</f>
        <v>2.0000000000000004E-2</v>
      </c>
      <c r="L113" s="99">
        <v>40</v>
      </c>
      <c r="M113" s="17">
        <v>25</v>
      </c>
      <c r="N113" s="10">
        <f t="shared" ref="N113:N121" si="6">L113*M113</f>
        <v>1000</v>
      </c>
      <c r="O113" s="146"/>
    </row>
    <row r="114" spans="1:20" ht="18" customHeight="1" x14ac:dyDescent="0.25">
      <c r="A114" s="7">
        <v>3</v>
      </c>
      <c r="B114" s="103" t="s">
        <v>121</v>
      </c>
      <c r="C114" s="10">
        <f>L114/100*100</f>
        <v>229.99999999999997</v>
      </c>
      <c r="D114" s="11">
        <f>C114/100*899</f>
        <v>2067.6999999999998</v>
      </c>
      <c r="E114" s="12"/>
      <c r="F114" s="12"/>
      <c r="G114" s="12">
        <f>C114/100*100</f>
        <v>229.99999999999997</v>
      </c>
      <c r="H114" s="12"/>
      <c r="I114" s="12"/>
      <c r="J114" s="12"/>
      <c r="K114" s="12"/>
      <c r="L114" s="99">
        <v>230</v>
      </c>
      <c r="M114" s="57">
        <v>68</v>
      </c>
      <c r="N114" s="10">
        <f t="shared" si="6"/>
        <v>15640</v>
      </c>
      <c r="O114" s="141"/>
    </row>
    <row r="115" spans="1:20" ht="18" customHeight="1" x14ac:dyDescent="0.25">
      <c r="A115" s="7">
        <v>4</v>
      </c>
      <c r="B115" s="4" t="s">
        <v>1</v>
      </c>
      <c r="C115" s="10">
        <f>L115/100*100</f>
        <v>1973.9999999999998</v>
      </c>
      <c r="D115" s="11">
        <f>C115/100*344</f>
        <v>6790.5599999999995</v>
      </c>
      <c r="E115" s="12"/>
      <c r="F115" s="12">
        <f>C115/100*7.9</f>
        <v>155.946</v>
      </c>
      <c r="G115" s="12"/>
      <c r="H115" s="12">
        <f>C115/100*1</f>
        <v>19.739999999999998</v>
      </c>
      <c r="I115" s="81">
        <f>C115/100*72</f>
        <v>1421.28</v>
      </c>
      <c r="J115" s="19">
        <f>C115/100*30</f>
        <v>592.19999999999993</v>
      </c>
      <c r="K115" s="19">
        <f>C115/100*0.1</f>
        <v>1.974</v>
      </c>
      <c r="L115" s="99">
        <v>1974</v>
      </c>
      <c r="M115" s="17">
        <v>18</v>
      </c>
      <c r="N115" s="10">
        <f t="shared" si="6"/>
        <v>35532</v>
      </c>
      <c r="O115" s="3"/>
    </row>
    <row r="116" spans="1:20" ht="18" customHeight="1" x14ac:dyDescent="0.25">
      <c r="A116" s="7">
        <v>5</v>
      </c>
      <c r="B116" s="58" t="s">
        <v>62</v>
      </c>
      <c r="C116" s="10">
        <f>L116/100*89</f>
        <v>2002.5</v>
      </c>
      <c r="D116" s="11">
        <f>C116/100*154</f>
        <v>3083.85</v>
      </c>
      <c r="E116" s="12">
        <f>C116/100*13.1</f>
        <v>262.32749999999999</v>
      </c>
      <c r="F116" s="12"/>
      <c r="G116" s="12">
        <f>C116/100*11.1</f>
        <v>222.27749999999997</v>
      </c>
      <c r="H116" s="12"/>
      <c r="I116" s="12">
        <f>C116/100*0.4</f>
        <v>8.01</v>
      </c>
      <c r="J116" s="56">
        <f>C116/100*64</f>
        <v>1281.5999999999999</v>
      </c>
      <c r="K116" s="19">
        <f>C116/100*0.13</f>
        <v>2.6032500000000001</v>
      </c>
      <c r="L116" s="99">
        <v>2250</v>
      </c>
      <c r="M116" s="37">
        <v>82</v>
      </c>
      <c r="N116" s="34">
        <f t="shared" si="6"/>
        <v>184500</v>
      </c>
      <c r="O116" s="3"/>
    </row>
    <row r="117" spans="1:20" ht="18" customHeight="1" x14ac:dyDescent="0.25">
      <c r="A117" s="7">
        <v>6</v>
      </c>
      <c r="B117" s="8" t="s">
        <v>66</v>
      </c>
      <c r="C117" s="10">
        <f>L117/100*98</f>
        <v>362.6</v>
      </c>
      <c r="D117" s="11">
        <f>C117/100*232</f>
        <v>841.23200000000008</v>
      </c>
      <c r="E117" s="12">
        <f>C117/100*17.6</f>
        <v>63.817600000000013</v>
      </c>
      <c r="F117" s="12"/>
      <c r="G117" s="12">
        <f>C117/100*17.2</f>
        <v>62.367200000000004</v>
      </c>
      <c r="H117" s="12"/>
      <c r="I117" s="12"/>
      <c r="J117" s="19">
        <f>C117/100*7</f>
        <v>25.382000000000001</v>
      </c>
      <c r="K117" s="19">
        <f>C117/100*0.9</f>
        <v>3.2634000000000003</v>
      </c>
      <c r="L117" s="99">
        <v>370</v>
      </c>
      <c r="M117" s="13">
        <v>130</v>
      </c>
      <c r="N117" s="10">
        <f t="shared" si="6"/>
        <v>48100</v>
      </c>
      <c r="O117" s="3"/>
    </row>
    <row r="118" spans="1:20" ht="18" customHeight="1" x14ac:dyDescent="0.25">
      <c r="A118" s="7">
        <v>7</v>
      </c>
      <c r="B118" s="4" t="s">
        <v>117</v>
      </c>
      <c r="C118" s="10">
        <f>L118/100*100</f>
        <v>40</v>
      </c>
      <c r="D118" s="11">
        <f>C118/100*247</f>
        <v>98.800000000000011</v>
      </c>
      <c r="E118" s="14"/>
      <c r="F118" s="14">
        <f>C118/100*17.5</f>
        <v>7</v>
      </c>
      <c r="G118" s="14"/>
      <c r="H118" s="14">
        <f>C118/100*1.6</f>
        <v>0.64000000000000012</v>
      </c>
      <c r="I118" s="14">
        <f>C118/100*39.2</f>
        <v>15.680000000000001</v>
      </c>
      <c r="J118" s="18"/>
      <c r="K118" s="18"/>
      <c r="L118" s="144">
        <v>40</v>
      </c>
      <c r="M118" s="17">
        <v>50</v>
      </c>
      <c r="N118" s="10">
        <f t="shared" si="6"/>
        <v>2000</v>
      </c>
      <c r="O118" s="3"/>
      <c r="Q118" s="2"/>
      <c r="R118" s="2"/>
      <c r="S118" s="3"/>
      <c r="T118" s="2"/>
    </row>
    <row r="119" spans="1:20" ht="18" customHeight="1" x14ac:dyDescent="0.25">
      <c r="A119" s="7">
        <v>8</v>
      </c>
      <c r="B119" s="4" t="s">
        <v>68</v>
      </c>
      <c r="C119" s="10">
        <f>L119/100*75</f>
        <v>705</v>
      </c>
      <c r="D119" s="11">
        <f>C119/100*12</f>
        <v>84.6</v>
      </c>
      <c r="E119" s="12">
        <f>C119/100*0.6</f>
        <v>4.2299999999999995</v>
      </c>
      <c r="F119" s="12"/>
      <c r="G119" s="12"/>
      <c r="H119" s="12"/>
      <c r="I119" s="12">
        <f>C119/100*2.4</f>
        <v>16.919999999999998</v>
      </c>
      <c r="J119" s="19">
        <f>C119/100*26</f>
        <v>183.29999999999998</v>
      </c>
      <c r="K119" s="19">
        <f>C119/100*0.02</f>
        <v>0.14099999999999999</v>
      </c>
      <c r="L119" s="99">
        <v>940</v>
      </c>
      <c r="M119" s="13">
        <v>30</v>
      </c>
      <c r="N119" s="10">
        <f t="shared" si="6"/>
        <v>28200</v>
      </c>
      <c r="O119" s="3"/>
    </row>
    <row r="120" spans="1:20" ht="18" customHeight="1" x14ac:dyDescent="0.25">
      <c r="A120" s="7">
        <v>9</v>
      </c>
      <c r="B120" s="4" t="s">
        <v>5</v>
      </c>
      <c r="C120" s="10">
        <f>L120/100*98.5</f>
        <v>709.2</v>
      </c>
      <c r="D120" s="11">
        <f>C120/100*39</f>
        <v>276.58800000000002</v>
      </c>
      <c r="E120" s="14"/>
      <c r="F120" s="14">
        <f>C120/100*1.5</f>
        <v>10.638000000000002</v>
      </c>
      <c r="G120" s="14"/>
      <c r="H120" s="14">
        <f>C120/100*0.2</f>
        <v>1.4184000000000001</v>
      </c>
      <c r="I120" s="14">
        <f>C120/100*7.8</f>
        <v>55.317600000000006</v>
      </c>
      <c r="J120" s="14">
        <f>C120/100*43</f>
        <v>304.95600000000002</v>
      </c>
      <c r="K120" s="14">
        <f>C120/100*0.06</f>
        <v>0.42552000000000001</v>
      </c>
      <c r="L120" s="144">
        <v>720</v>
      </c>
      <c r="M120" s="17">
        <v>17</v>
      </c>
      <c r="N120" s="10">
        <f t="shared" si="6"/>
        <v>12240</v>
      </c>
      <c r="O120" s="3"/>
      <c r="Q120" s="2"/>
      <c r="R120" s="2"/>
      <c r="S120" s="3"/>
    </row>
    <row r="121" spans="1:20" ht="18" customHeight="1" x14ac:dyDescent="0.25">
      <c r="A121" s="7">
        <v>10</v>
      </c>
      <c r="B121" s="4" t="s">
        <v>20</v>
      </c>
      <c r="C121" s="10">
        <f>L121/100*95</f>
        <v>807.5</v>
      </c>
      <c r="D121" s="11">
        <f>C121/100*20</f>
        <v>161.5</v>
      </c>
      <c r="E121" s="12"/>
      <c r="F121" s="12">
        <f>C121/100*0.6</f>
        <v>4.8449999999999998</v>
      </c>
      <c r="G121" s="12"/>
      <c r="H121" s="12">
        <f>C121/100*0.2</f>
        <v>1.615</v>
      </c>
      <c r="I121" s="12">
        <f>C121/100*4</f>
        <v>32.299999999999997</v>
      </c>
      <c r="J121" s="18">
        <f>C121/100*12</f>
        <v>96.899999999999991</v>
      </c>
      <c r="K121" s="18">
        <f>C121/100*0.04</f>
        <v>0.32299999999999995</v>
      </c>
      <c r="L121" s="143">
        <v>850</v>
      </c>
      <c r="M121" s="13">
        <v>40</v>
      </c>
      <c r="N121" s="10">
        <f t="shared" si="6"/>
        <v>34000</v>
      </c>
      <c r="O121" s="3"/>
      <c r="Q121" s="2"/>
      <c r="R121" s="2"/>
    </row>
    <row r="122" spans="1:20" ht="18" customHeight="1" x14ac:dyDescent="0.25">
      <c r="A122" s="7">
        <v>11</v>
      </c>
      <c r="B122" s="8" t="s">
        <v>111</v>
      </c>
      <c r="C122" s="10"/>
      <c r="D122" s="11"/>
      <c r="E122" s="12"/>
      <c r="F122" s="12"/>
      <c r="G122" s="92"/>
      <c r="H122" s="92"/>
      <c r="I122" s="12"/>
      <c r="J122" s="12"/>
      <c r="K122" s="12"/>
      <c r="L122" s="13"/>
      <c r="M122" s="13"/>
      <c r="N122" s="10">
        <v>3000</v>
      </c>
      <c r="O122" s="3"/>
    </row>
    <row r="123" spans="1:20" ht="18" customHeight="1" x14ac:dyDescent="0.25">
      <c r="A123" s="20" t="s">
        <v>105</v>
      </c>
      <c r="B123" s="21"/>
      <c r="C123" s="22"/>
      <c r="D123" s="84">
        <f>SUM(D112:D122)</f>
        <v>13584.829999999998</v>
      </c>
      <c r="E123" s="5"/>
      <c r="F123" s="5"/>
      <c r="G123" s="5"/>
      <c r="H123" s="5"/>
      <c r="I123" s="5"/>
      <c r="J123" s="5"/>
      <c r="K123" s="5"/>
      <c r="L123" s="28"/>
      <c r="M123" s="28"/>
      <c r="N123" s="314">
        <f>SUM(N112:N122)</f>
        <v>365012</v>
      </c>
      <c r="O123" s="3"/>
    </row>
    <row r="124" spans="1:20" ht="18" customHeight="1" x14ac:dyDescent="0.25">
      <c r="A124" s="20" t="s">
        <v>46</v>
      </c>
      <c r="B124" s="21"/>
      <c r="C124" s="45"/>
      <c r="D124" s="31">
        <f>D123/C90</f>
        <v>289.03893617021271</v>
      </c>
      <c r="E124" s="31"/>
      <c r="F124" s="31"/>
      <c r="G124" s="31"/>
      <c r="H124" s="31"/>
      <c r="I124" s="31"/>
      <c r="J124" s="31"/>
      <c r="K124" s="31"/>
      <c r="L124" s="46"/>
      <c r="M124" s="28"/>
      <c r="N124" s="315"/>
      <c r="O124" s="3"/>
    </row>
    <row r="125" spans="1:20" ht="18" customHeight="1" x14ac:dyDescent="0.25">
      <c r="A125" s="307" t="s">
        <v>53</v>
      </c>
      <c r="B125" s="218"/>
      <c r="C125" s="145" t="s">
        <v>132</v>
      </c>
      <c r="D125" s="26" t="s">
        <v>48</v>
      </c>
      <c r="E125" s="30"/>
      <c r="F125" s="30"/>
      <c r="G125" s="30"/>
      <c r="H125" s="30"/>
      <c r="I125" s="30"/>
      <c r="J125" s="31"/>
      <c r="K125" s="31"/>
      <c r="L125" s="28"/>
      <c r="M125" s="28"/>
      <c r="N125" s="137"/>
      <c r="O125" s="3"/>
    </row>
    <row r="126" spans="1:20" ht="18" customHeight="1" x14ac:dyDescent="0.25">
      <c r="A126" s="219"/>
      <c r="B126" s="220"/>
      <c r="C126" s="54" t="s">
        <v>58</v>
      </c>
      <c r="D126" s="26">
        <f>D124*100/930</f>
        <v>31.079455502173406</v>
      </c>
      <c r="E126" s="30"/>
      <c r="F126" s="30"/>
      <c r="G126" s="30"/>
      <c r="H126" s="30"/>
      <c r="I126" s="30"/>
      <c r="J126" s="31"/>
      <c r="K126" s="31"/>
      <c r="L126" s="28"/>
      <c r="M126" s="28"/>
      <c r="N126" s="137"/>
      <c r="O126" s="3"/>
    </row>
    <row r="127" spans="1:20" ht="18" customHeight="1" x14ac:dyDescent="0.3">
      <c r="A127" s="313" t="s">
        <v>39</v>
      </c>
      <c r="B127" s="245"/>
      <c r="C127" s="47"/>
      <c r="D127" s="48"/>
      <c r="E127" s="48"/>
      <c r="F127" s="48"/>
      <c r="G127" s="48"/>
      <c r="H127" s="48"/>
      <c r="I127" s="48"/>
      <c r="J127" s="48"/>
      <c r="K127" s="48"/>
      <c r="L127" s="49"/>
      <c r="M127" s="49"/>
      <c r="N127" s="52"/>
      <c r="O127" s="3"/>
      <c r="S127" s="128"/>
    </row>
    <row r="128" spans="1:20" ht="18" customHeight="1" x14ac:dyDescent="0.25">
      <c r="A128" s="107">
        <v>1</v>
      </c>
      <c r="B128" s="112" t="s">
        <v>154</v>
      </c>
      <c r="C128" s="22">
        <f>L128/100*73.5</f>
        <v>3799.9500000000003</v>
      </c>
      <c r="D128" s="108">
        <f>C128/100*56</f>
        <v>2127.9720000000002</v>
      </c>
      <c r="E128" s="24"/>
      <c r="F128" s="24">
        <f>C128/100*0.9</f>
        <v>34.199550000000002</v>
      </c>
      <c r="G128" s="24"/>
      <c r="H128" s="24">
        <f>C128/100*0.3</f>
        <v>11.399850000000001</v>
      </c>
      <c r="I128" s="109">
        <f>C128/100*12.4</f>
        <v>471.19380000000007</v>
      </c>
      <c r="J128" s="113">
        <f>C128/100*12</f>
        <v>455.99400000000003</v>
      </c>
      <c r="K128" s="114">
        <f>C128/100*0.04</f>
        <v>1.5199800000000003</v>
      </c>
      <c r="L128" s="25">
        <v>5170</v>
      </c>
      <c r="M128" s="115">
        <v>20</v>
      </c>
      <c r="N128" s="22">
        <f t="shared" ref="N128" si="7">L128*M128</f>
        <v>103400</v>
      </c>
      <c r="O128" s="3"/>
    </row>
    <row r="129" spans="1:24" ht="18" customHeight="1" x14ac:dyDescent="0.25">
      <c r="A129" s="233" t="s">
        <v>0</v>
      </c>
      <c r="B129" s="238" t="s">
        <v>19</v>
      </c>
      <c r="C129" s="238" t="s">
        <v>8</v>
      </c>
      <c r="D129" s="238" t="s">
        <v>9</v>
      </c>
      <c r="E129" s="241" t="s">
        <v>11</v>
      </c>
      <c r="F129" s="242"/>
      <c r="G129" s="241" t="s">
        <v>13</v>
      </c>
      <c r="H129" s="242"/>
      <c r="I129" s="233" t="s">
        <v>16</v>
      </c>
      <c r="J129" s="233" t="s">
        <v>32</v>
      </c>
      <c r="K129" s="233" t="s">
        <v>33</v>
      </c>
      <c r="L129" s="233" t="s">
        <v>17</v>
      </c>
      <c r="M129" s="233" t="s">
        <v>34</v>
      </c>
      <c r="N129" s="233" t="s">
        <v>18</v>
      </c>
      <c r="O129" s="140"/>
    </row>
    <row r="130" spans="1:24" ht="18" customHeight="1" x14ac:dyDescent="0.25">
      <c r="A130" s="236"/>
      <c r="B130" s="239"/>
      <c r="C130" s="239"/>
      <c r="D130" s="239"/>
      <c r="E130" s="243"/>
      <c r="F130" s="244"/>
      <c r="G130" s="243"/>
      <c r="H130" s="244"/>
      <c r="I130" s="234"/>
      <c r="J130" s="234"/>
      <c r="K130" s="234"/>
      <c r="L130" s="234"/>
      <c r="M130" s="234"/>
      <c r="N130" s="236"/>
      <c r="O130" s="132"/>
    </row>
    <row r="131" spans="1:24" ht="18" customHeight="1" x14ac:dyDescent="0.25">
      <c r="A131" s="236"/>
      <c r="B131" s="239"/>
      <c r="C131" s="239"/>
      <c r="D131" s="239"/>
      <c r="E131" s="233" t="s">
        <v>10</v>
      </c>
      <c r="F131" s="233" t="s">
        <v>12</v>
      </c>
      <c r="G131" s="233" t="s">
        <v>14</v>
      </c>
      <c r="H131" s="233" t="s">
        <v>15</v>
      </c>
      <c r="I131" s="234"/>
      <c r="J131" s="234"/>
      <c r="K131" s="234"/>
      <c r="L131" s="234"/>
      <c r="M131" s="234"/>
      <c r="N131" s="236"/>
      <c r="O131" s="132"/>
    </row>
    <row r="132" spans="1:24" ht="18" customHeight="1" x14ac:dyDescent="0.25">
      <c r="A132" s="237"/>
      <c r="B132" s="240"/>
      <c r="C132" s="240"/>
      <c r="D132" s="240"/>
      <c r="E132" s="235"/>
      <c r="F132" s="235"/>
      <c r="G132" s="235"/>
      <c r="H132" s="235"/>
      <c r="I132" s="235"/>
      <c r="J132" s="235"/>
      <c r="K132" s="235"/>
      <c r="L132" s="235"/>
      <c r="M132" s="235"/>
      <c r="N132" s="237"/>
      <c r="O132" s="132"/>
    </row>
    <row r="133" spans="1:24" ht="21" customHeight="1" x14ac:dyDescent="0.25">
      <c r="A133" s="20" t="s">
        <v>98</v>
      </c>
      <c r="B133" s="21"/>
      <c r="C133" s="22"/>
      <c r="D133" s="23">
        <f>SUM(D127:D128)</f>
        <v>2127.9720000000002</v>
      </c>
      <c r="E133" s="5"/>
      <c r="F133" s="5"/>
      <c r="G133" s="5"/>
      <c r="H133" s="5"/>
      <c r="I133" s="5"/>
      <c r="J133" s="5"/>
      <c r="K133" s="5"/>
      <c r="L133" s="28"/>
      <c r="M133" s="46"/>
      <c r="N133" s="314">
        <f>SUM(N127:N128)</f>
        <v>103400</v>
      </c>
      <c r="O133" s="3"/>
    </row>
    <row r="134" spans="1:24" ht="21" customHeight="1" x14ac:dyDescent="0.25">
      <c r="A134" s="20" t="s">
        <v>7</v>
      </c>
      <c r="B134" s="21"/>
      <c r="C134" s="29"/>
      <c r="D134" s="30">
        <f>D133/C90</f>
        <v>45.276000000000003</v>
      </c>
      <c r="E134" s="30"/>
      <c r="F134" s="30"/>
      <c r="G134" s="30"/>
      <c r="H134" s="30"/>
      <c r="I134" s="30"/>
      <c r="J134" s="30"/>
      <c r="K134" s="30"/>
      <c r="L134" s="28"/>
      <c r="M134" s="15"/>
      <c r="N134" s="315"/>
      <c r="O134" s="3"/>
    </row>
    <row r="135" spans="1:24" ht="21" customHeight="1" x14ac:dyDescent="0.25">
      <c r="A135" s="307" t="s">
        <v>51</v>
      </c>
      <c r="B135" s="218"/>
      <c r="C135" s="145" t="s">
        <v>132</v>
      </c>
      <c r="D135" s="26" t="s">
        <v>49</v>
      </c>
      <c r="E135" s="30"/>
      <c r="F135" s="30"/>
      <c r="G135" s="30"/>
      <c r="H135" s="30"/>
      <c r="I135" s="30"/>
      <c r="J135" s="31"/>
      <c r="K135" s="31"/>
      <c r="L135" s="28"/>
      <c r="M135" s="28"/>
      <c r="N135" s="137"/>
      <c r="O135" s="3"/>
    </row>
    <row r="136" spans="1:24" ht="21" customHeight="1" x14ac:dyDescent="0.25">
      <c r="A136" s="219"/>
      <c r="B136" s="220"/>
      <c r="C136" s="54" t="s">
        <v>58</v>
      </c>
      <c r="D136" s="26">
        <f>D134*100/930</f>
        <v>4.8683870967741942</v>
      </c>
      <c r="E136" s="30"/>
      <c r="F136" s="30"/>
      <c r="G136" s="30"/>
      <c r="H136" s="30"/>
      <c r="I136" s="30"/>
      <c r="J136" s="31"/>
      <c r="K136" s="31"/>
      <c r="L136" s="28"/>
      <c r="M136" s="28"/>
      <c r="N136" s="137"/>
      <c r="O136" s="3"/>
    </row>
    <row r="137" spans="1:24" ht="21" customHeight="1" x14ac:dyDescent="0.25">
      <c r="A137" s="221" t="s">
        <v>99</v>
      </c>
      <c r="B137" s="222"/>
      <c r="C137" s="225"/>
      <c r="D137" s="227">
        <f>D107+D123+D133</f>
        <v>29560.684000000001</v>
      </c>
      <c r="E137" s="5">
        <f>SUM(E96:E136)</f>
        <v>831.94940000000008</v>
      </c>
      <c r="F137" s="5">
        <f>SUM(F96:F136)</f>
        <v>414.10254999999995</v>
      </c>
      <c r="G137" s="5">
        <f>SUM(G96:G136)</f>
        <v>741.42199999999991</v>
      </c>
      <c r="H137" s="5">
        <f>SUM(H96:H136)</f>
        <v>317.81225000000001</v>
      </c>
      <c r="I137" s="278">
        <f>SUM(I96:I136)</f>
        <v>3636.6620000000003</v>
      </c>
      <c r="J137" s="278">
        <f>SUM(J96:J128)</f>
        <v>7223.8719999999976</v>
      </c>
      <c r="K137" s="229">
        <f>SUM(K96:K128)</f>
        <v>28.361810000000002</v>
      </c>
      <c r="L137" s="193"/>
      <c r="M137" s="193"/>
      <c r="N137" s="312">
        <f>N107+N123+N133</f>
        <v>1033480</v>
      </c>
    </row>
    <row r="138" spans="1:24" ht="21" customHeight="1" x14ac:dyDescent="0.25">
      <c r="A138" s="223"/>
      <c r="B138" s="224"/>
      <c r="C138" s="226"/>
      <c r="D138" s="317"/>
      <c r="E138" s="195">
        <f>E137+F137</f>
        <v>1246.05195</v>
      </c>
      <c r="F138" s="196"/>
      <c r="G138" s="195">
        <f>G137+H137</f>
        <v>1059.23425</v>
      </c>
      <c r="H138" s="196"/>
      <c r="I138" s="279"/>
      <c r="J138" s="279"/>
      <c r="K138" s="230"/>
      <c r="L138" s="193"/>
      <c r="M138" s="193"/>
      <c r="N138" s="312"/>
    </row>
    <row r="139" spans="1:24" ht="21" customHeight="1" x14ac:dyDescent="0.25">
      <c r="A139" s="200" t="s">
        <v>75</v>
      </c>
      <c r="B139" s="201"/>
      <c r="C139" s="201"/>
      <c r="D139" s="119">
        <f>D137/C90</f>
        <v>628.95072340425531</v>
      </c>
      <c r="E139" s="95">
        <f>E137/C90</f>
        <v>17.701051063829787</v>
      </c>
      <c r="F139" s="94">
        <f>F137/C90</f>
        <v>8.8106925531914886</v>
      </c>
      <c r="G139" s="96">
        <f>G137/C90</f>
        <v>15.774936170212763</v>
      </c>
      <c r="H139" s="95">
        <f>H137/C90</f>
        <v>6.7619627659574473</v>
      </c>
      <c r="I139" s="206">
        <f>I137/C90</f>
        <v>77.375787234042562</v>
      </c>
      <c r="J139" s="206">
        <f>J137/C90</f>
        <v>153.69940425531911</v>
      </c>
      <c r="K139" s="206">
        <f>K137/C90</f>
        <v>0.60344276595744684</v>
      </c>
      <c r="L139" s="193"/>
      <c r="M139" s="193"/>
      <c r="N139" s="312"/>
    </row>
    <row r="140" spans="1:24" ht="21" customHeight="1" x14ac:dyDescent="0.25">
      <c r="A140" s="203"/>
      <c r="B140" s="204"/>
      <c r="C140" s="204"/>
      <c r="D140" s="88"/>
      <c r="E140" s="316">
        <f>E139+F139</f>
        <v>26.511743617021274</v>
      </c>
      <c r="F140" s="191"/>
      <c r="G140" s="190">
        <f>G139+H139</f>
        <v>22.536898936170211</v>
      </c>
      <c r="H140" s="191"/>
      <c r="I140" s="207"/>
      <c r="J140" s="207"/>
      <c r="K140" s="207"/>
      <c r="L140" s="193"/>
      <c r="M140" s="193"/>
      <c r="N140" s="312"/>
      <c r="P140" s="106"/>
      <c r="Q140" s="106"/>
      <c r="R140" s="188"/>
      <c r="S140" s="188"/>
      <c r="T140" s="188"/>
      <c r="U140" s="188"/>
      <c r="V140" s="189"/>
      <c r="W140" s="189"/>
      <c r="X140" s="1">
        <f>R140+T140+V140</f>
        <v>0</v>
      </c>
    </row>
    <row r="141" spans="1:24" ht="21" customHeight="1" x14ac:dyDescent="0.25">
      <c r="A141" s="211" t="s">
        <v>76</v>
      </c>
      <c r="B141" s="212"/>
      <c r="C141" s="213"/>
      <c r="D141" s="133" t="s">
        <v>28</v>
      </c>
      <c r="E141" s="184" t="s">
        <v>24</v>
      </c>
      <c r="F141" s="184"/>
      <c r="G141" s="184" t="s">
        <v>25</v>
      </c>
      <c r="H141" s="184"/>
      <c r="I141" s="136" t="s">
        <v>26</v>
      </c>
      <c r="J141" s="133">
        <v>500</v>
      </c>
      <c r="K141" s="133">
        <v>0.59</v>
      </c>
      <c r="L141" s="193"/>
      <c r="M141" s="193"/>
      <c r="N141" s="312"/>
      <c r="O141" s="147"/>
      <c r="P141" s="106"/>
      <c r="Q141" s="154"/>
      <c r="R141" s="188"/>
      <c r="S141" s="188"/>
      <c r="T141" s="188"/>
      <c r="U141" s="188"/>
      <c r="V141" s="188"/>
      <c r="W141" s="188"/>
    </row>
    <row r="142" spans="1:24" ht="21" customHeight="1" x14ac:dyDescent="0.25">
      <c r="A142" s="180" t="s">
        <v>69</v>
      </c>
      <c r="B142" s="185"/>
      <c r="C142" s="181"/>
      <c r="D142" s="16"/>
      <c r="E142" s="186">
        <f>E140*4.1</f>
        <v>108.69814882978721</v>
      </c>
      <c r="F142" s="187"/>
      <c r="G142" s="186">
        <f>G140*9</f>
        <v>202.8320904255319</v>
      </c>
      <c r="H142" s="187"/>
      <c r="I142" s="60">
        <f>I139*4.1</f>
        <v>317.24072765957447</v>
      </c>
      <c r="J142" s="197"/>
      <c r="K142" s="197"/>
      <c r="L142" s="193"/>
      <c r="M142" s="193"/>
      <c r="N142" s="312"/>
      <c r="O142" s="147"/>
      <c r="P142" s="151"/>
      <c r="Q142" s="151"/>
      <c r="R142" s="152"/>
      <c r="S142" s="152"/>
      <c r="T142" s="152"/>
      <c r="U142" s="106"/>
      <c r="V142" s="106"/>
      <c r="W142" s="106"/>
    </row>
    <row r="143" spans="1:24" ht="21" customHeight="1" x14ac:dyDescent="0.25">
      <c r="A143" s="176" t="s">
        <v>77</v>
      </c>
      <c r="B143" s="177"/>
      <c r="C143" s="180" t="s">
        <v>58</v>
      </c>
      <c r="D143" s="181"/>
      <c r="E143" s="182">
        <f>E142*100/D139</f>
        <v>17.282458670442129</v>
      </c>
      <c r="F143" s="183"/>
      <c r="G143" s="182">
        <v>32.299999999999997</v>
      </c>
      <c r="H143" s="183"/>
      <c r="I143" s="75">
        <f>I142*100/D139</f>
        <v>50.43967927129156</v>
      </c>
      <c r="J143" s="198"/>
      <c r="K143" s="198"/>
      <c r="L143" s="193"/>
      <c r="M143" s="193"/>
      <c r="N143" s="312"/>
      <c r="O143" s="147"/>
      <c r="P143" s="106"/>
      <c r="Q143" s="106"/>
      <c r="R143" s="153"/>
      <c r="S143" s="106"/>
      <c r="T143" s="106"/>
      <c r="U143" s="106"/>
      <c r="V143" s="106"/>
      <c r="W143" s="106"/>
    </row>
    <row r="144" spans="1:24" ht="21" customHeight="1" x14ac:dyDescent="0.25">
      <c r="A144" s="178"/>
      <c r="B144" s="179"/>
      <c r="C144" s="180" t="s">
        <v>71</v>
      </c>
      <c r="D144" s="181"/>
      <c r="E144" s="180" t="s">
        <v>72</v>
      </c>
      <c r="F144" s="181"/>
      <c r="G144" s="180" t="s">
        <v>78</v>
      </c>
      <c r="H144" s="181"/>
      <c r="I144" s="136" t="s">
        <v>79</v>
      </c>
      <c r="J144" s="199"/>
      <c r="K144" s="199"/>
      <c r="L144" s="193"/>
      <c r="M144" s="193"/>
      <c r="N144" s="312"/>
      <c r="O144" s="147"/>
      <c r="P144" s="2"/>
    </row>
    <row r="145" spans="1:15" ht="21" customHeight="1" x14ac:dyDescent="0.25">
      <c r="A145" s="63"/>
      <c r="B145" s="64"/>
      <c r="C145" s="63"/>
      <c r="D145" s="63"/>
      <c r="E145" s="63"/>
      <c r="F145" s="63"/>
      <c r="G145" s="63"/>
      <c r="H145" s="63"/>
      <c r="I145" s="63"/>
      <c r="J145" s="63"/>
      <c r="K145" s="63"/>
      <c r="L145" s="65"/>
      <c r="M145" s="65"/>
      <c r="N145" s="66"/>
      <c r="O145" s="147"/>
    </row>
    <row r="146" spans="1:15" ht="21" customHeight="1" x14ac:dyDescent="0.25">
      <c r="A146" s="172" t="s">
        <v>100</v>
      </c>
      <c r="B146" s="172"/>
      <c r="C146" s="172"/>
      <c r="D146" s="172"/>
      <c r="E146" s="172"/>
      <c r="F146" s="172"/>
      <c r="G146" s="172"/>
      <c r="H146" s="172"/>
      <c r="I146" s="172"/>
      <c r="J146" s="172"/>
      <c r="K146" s="172"/>
      <c r="L146" s="172"/>
      <c r="M146" s="172"/>
      <c r="N146" s="172"/>
      <c r="O146" s="147"/>
    </row>
    <row r="147" spans="1:15" ht="21" customHeight="1" x14ac:dyDescent="0.25">
      <c r="A147" s="77" t="s">
        <v>101</v>
      </c>
      <c r="B147" s="173" t="s">
        <v>102</v>
      </c>
      <c r="C147" s="173"/>
      <c r="D147" s="173"/>
      <c r="E147" s="173"/>
      <c r="F147" s="173"/>
      <c r="G147" s="173"/>
      <c r="H147" s="173"/>
      <c r="I147" s="173"/>
      <c r="J147" s="173"/>
      <c r="K147" s="173"/>
      <c r="L147" s="173"/>
      <c r="M147" s="173"/>
      <c r="N147" s="173"/>
      <c r="O147" s="147"/>
    </row>
    <row r="148" spans="1:15" ht="21" customHeight="1" x14ac:dyDescent="0.25">
      <c r="A148" s="78"/>
      <c r="B148" s="174" t="s">
        <v>189</v>
      </c>
      <c r="C148" s="174"/>
      <c r="D148" s="174"/>
      <c r="E148" s="174"/>
      <c r="F148" s="174"/>
      <c r="G148" s="174"/>
      <c r="H148" s="174"/>
      <c r="I148" s="174"/>
      <c r="J148" s="174"/>
      <c r="K148" s="174"/>
      <c r="L148" s="174"/>
      <c r="M148" s="174"/>
      <c r="N148" s="174"/>
      <c r="O148" s="147"/>
    </row>
    <row r="149" spans="1:15" ht="21" customHeight="1" x14ac:dyDescent="0.25">
      <c r="A149" s="78"/>
      <c r="B149" s="174" t="s">
        <v>172</v>
      </c>
      <c r="C149" s="174"/>
      <c r="D149" s="174"/>
      <c r="E149" s="174"/>
      <c r="F149" s="174"/>
      <c r="G149" s="174"/>
      <c r="H149" s="174"/>
      <c r="I149" s="174"/>
      <c r="J149" s="174"/>
      <c r="K149" s="174"/>
      <c r="L149" s="174"/>
      <c r="M149" s="174"/>
      <c r="N149" s="174"/>
      <c r="O149" s="147"/>
    </row>
    <row r="150" spans="1:15" ht="21" customHeight="1" x14ac:dyDescent="0.25">
      <c r="A150" s="78"/>
      <c r="B150" s="174" t="s">
        <v>146</v>
      </c>
      <c r="C150" s="174"/>
      <c r="D150" s="174"/>
      <c r="E150" s="174"/>
      <c r="F150" s="174"/>
      <c r="G150" s="174"/>
      <c r="H150" s="174"/>
      <c r="I150" s="174"/>
      <c r="J150" s="174"/>
      <c r="K150" s="174"/>
      <c r="L150" s="174"/>
      <c r="M150" s="174"/>
      <c r="N150" s="174"/>
      <c r="O150" s="147"/>
    </row>
    <row r="151" spans="1:15" ht="21" customHeight="1" x14ac:dyDescent="0.25">
      <c r="A151" s="63"/>
      <c r="B151" s="175" t="s">
        <v>109</v>
      </c>
      <c r="C151" s="175"/>
      <c r="D151" s="175"/>
      <c r="E151" s="175"/>
      <c r="F151" s="175"/>
      <c r="G151" s="175"/>
      <c r="H151" s="175"/>
      <c r="I151" s="175"/>
      <c r="J151" s="175"/>
      <c r="K151" s="175"/>
      <c r="L151" s="175"/>
      <c r="M151" s="175"/>
      <c r="N151" s="175"/>
      <c r="O151" s="147"/>
    </row>
    <row r="152" spans="1:15" ht="21" customHeight="1" x14ac:dyDescent="0.25">
      <c r="A152" s="63"/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79"/>
      <c r="M152" s="79"/>
      <c r="N152" s="80"/>
      <c r="O152" s="147"/>
    </row>
    <row r="153" spans="1:15" ht="21" customHeight="1" x14ac:dyDescent="0.25">
      <c r="A153" s="168" t="s">
        <v>60</v>
      </c>
      <c r="B153" s="168"/>
      <c r="C153" s="168"/>
      <c r="D153" s="168"/>
      <c r="E153" s="148"/>
      <c r="F153" s="148"/>
      <c r="G153" s="148"/>
      <c r="H153" s="148"/>
      <c r="I153" s="148"/>
      <c r="J153" s="169" t="s">
        <v>36</v>
      </c>
      <c r="K153" s="169"/>
      <c r="L153" s="169"/>
      <c r="M153" s="169"/>
      <c r="N153" s="169"/>
      <c r="O153" s="147"/>
    </row>
    <row r="154" spans="1:15" ht="21" customHeight="1" x14ac:dyDescent="0.25">
      <c r="A154" s="132"/>
      <c r="B154" s="132"/>
      <c r="C154" s="132"/>
      <c r="D154" s="148"/>
      <c r="E154" s="148"/>
      <c r="F154" s="148"/>
      <c r="G154" s="148"/>
      <c r="H154" s="149"/>
      <c r="I154" s="149"/>
      <c r="J154" s="149"/>
      <c r="K154" s="149"/>
      <c r="L154" s="149"/>
      <c r="M154" s="149"/>
      <c r="N154" s="149"/>
      <c r="O154" s="147"/>
    </row>
    <row r="155" spans="1:15" ht="21" customHeight="1" x14ac:dyDescent="0.25">
      <c r="A155" s="132"/>
      <c r="B155" s="132"/>
      <c r="C155" s="132"/>
      <c r="D155" s="148"/>
      <c r="E155" s="148"/>
      <c r="F155" s="148"/>
      <c r="G155" s="148"/>
      <c r="H155" s="149"/>
      <c r="I155" s="149"/>
      <c r="J155" s="149"/>
      <c r="K155" s="149"/>
      <c r="L155" s="149"/>
      <c r="M155" s="149"/>
      <c r="N155" s="149"/>
      <c r="O155" s="147"/>
    </row>
    <row r="156" spans="1:15" ht="21" customHeight="1" x14ac:dyDescent="0.25">
      <c r="A156" s="132"/>
      <c r="B156" s="132"/>
      <c r="C156" s="132"/>
      <c r="D156" s="148"/>
      <c r="E156" s="148"/>
      <c r="F156" s="148"/>
      <c r="G156" s="148"/>
      <c r="H156" s="149"/>
      <c r="I156" s="149"/>
      <c r="J156" s="170" t="s">
        <v>103</v>
      </c>
      <c r="K156" s="170"/>
      <c r="L156" s="170"/>
      <c r="M156" s="170"/>
      <c r="N156" s="170"/>
      <c r="O156" s="147"/>
    </row>
    <row r="157" spans="1:15" ht="21" customHeight="1" x14ac:dyDescent="0.25">
      <c r="A157" s="171" t="s">
        <v>84</v>
      </c>
      <c r="B157" s="171"/>
      <c r="C157" s="171"/>
      <c r="D157" s="171"/>
      <c r="E157" s="148"/>
      <c r="F157" s="148"/>
      <c r="G157" s="148"/>
      <c r="H157" s="149"/>
      <c r="I157" s="149"/>
      <c r="J157" s="170"/>
      <c r="K157" s="170"/>
      <c r="L157" s="170"/>
      <c r="M157" s="170"/>
      <c r="N157" s="170"/>
      <c r="O157" s="147"/>
    </row>
    <row r="158" spans="1:15" ht="21" customHeight="1" x14ac:dyDescent="0.25">
      <c r="J158" s="149"/>
      <c r="K158" s="149"/>
      <c r="L158" s="149"/>
      <c r="M158" s="149"/>
      <c r="N158" s="149"/>
    </row>
    <row r="159" spans="1:15" ht="21" customHeight="1" x14ac:dyDescent="0.25">
      <c r="J159" s="170" t="s">
        <v>114</v>
      </c>
      <c r="K159" s="170"/>
      <c r="L159" s="170"/>
      <c r="M159" s="170"/>
      <c r="N159" s="170"/>
    </row>
  </sheetData>
  <mergeCells count="204">
    <mergeCell ref="V140:W140"/>
    <mergeCell ref="A141:C141"/>
    <mergeCell ref="J142:J144"/>
    <mergeCell ref="K142:K144"/>
    <mergeCell ref="A143:B144"/>
    <mergeCell ref="C143:D143"/>
    <mergeCell ref="A146:N146"/>
    <mergeCell ref="J157:N157"/>
    <mergeCell ref="B151:N151"/>
    <mergeCell ref="C144:D144"/>
    <mergeCell ref="B147:N147"/>
    <mergeCell ref="A153:D153"/>
    <mergeCell ref="J153:N153"/>
    <mergeCell ref="J156:N156"/>
    <mergeCell ref="A157:D157"/>
    <mergeCell ref="R141:S141"/>
    <mergeCell ref="T141:U141"/>
    <mergeCell ref="V141:W141"/>
    <mergeCell ref="J159:N159"/>
    <mergeCell ref="R140:S140"/>
    <mergeCell ref="T140:U140"/>
    <mergeCell ref="N129:N132"/>
    <mergeCell ref="E131:E132"/>
    <mergeCell ref="F131:F132"/>
    <mergeCell ref="G131:G132"/>
    <mergeCell ref="H131:H132"/>
    <mergeCell ref="N133:N134"/>
    <mergeCell ref="N137:N144"/>
    <mergeCell ref="B148:N148"/>
    <mergeCell ref="B149:N149"/>
    <mergeCell ref="B150:N150"/>
    <mergeCell ref="E142:F142"/>
    <mergeCell ref="G142:H142"/>
    <mergeCell ref="A135:B136"/>
    <mergeCell ref="A137:B138"/>
    <mergeCell ref="C137:C138"/>
    <mergeCell ref="D137:D138"/>
    <mergeCell ref="I137:I138"/>
    <mergeCell ref="J137:J138"/>
    <mergeCell ref="K137:K138"/>
    <mergeCell ref="L137:L144"/>
    <mergeCell ref="M137:M144"/>
    <mergeCell ref="E138:F138"/>
    <mergeCell ref="G138:H138"/>
    <mergeCell ref="A139:C140"/>
    <mergeCell ref="I139:I140"/>
    <mergeCell ref="J139:J140"/>
    <mergeCell ref="K139:K140"/>
    <mergeCell ref="E140:F140"/>
    <mergeCell ref="G140:H140"/>
    <mergeCell ref="E144:F144"/>
    <mergeCell ref="G144:H144"/>
    <mergeCell ref="A142:C142"/>
    <mergeCell ref="E141:F141"/>
    <mergeCell ref="G141:H141"/>
    <mergeCell ref="E143:F143"/>
    <mergeCell ref="G143:H143"/>
    <mergeCell ref="J87:N87"/>
    <mergeCell ref="A88:D88"/>
    <mergeCell ref="A89:D89"/>
    <mergeCell ref="J88:N88"/>
    <mergeCell ref="J89:N89"/>
    <mergeCell ref="A87:D87"/>
    <mergeCell ref="C129:C132"/>
    <mergeCell ref="D129:D132"/>
    <mergeCell ref="E129:F130"/>
    <mergeCell ref="G129:H130"/>
    <mergeCell ref="I129:I132"/>
    <mergeCell ref="J129:J132"/>
    <mergeCell ref="K129:K132"/>
    <mergeCell ref="L129:L132"/>
    <mergeCell ref="M129:M132"/>
    <mergeCell ref="E93:E94"/>
    <mergeCell ref="F93:F94"/>
    <mergeCell ref="G93:G94"/>
    <mergeCell ref="H93:H94"/>
    <mergeCell ref="A95:N95"/>
    <mergeCell ref="N107:N108"/>
    <mergeCell ref="C91:C94"/>
    <mergeCell ref="D91:D94"/>
    <mergeCell ref="E91:F92"/>
    <mergeCell ref="G91:H92"/>
    <mergeCell ref="I91:I94"/>
    <mergeCell ref="J91:J94"/>
    <mergeCell ref="K91:K94"/>
    <mergeCell ref="L91:L94"/>
    <mergeCell ref="M91:M94"/>
    <mergeCell ref="A109:B110"/>
    <mergeCell ref="A111:B111"/>
    <mergeCell ref="N123:N124"/>
    <mergeCell ref="A91:A94"/>
    <mergeCell ref="B91:B94"/>
    <mergeCell ref="A125:B126"/>
    <mergeCell ref="A127:B127"/>
    <mergeCell ref="A129:A132"/>
    <mergeCell ref="B129:B132"/>
    <mergeCell ref="J51:J52"/>
    <mergeCell ref="K51:K52"/>
    <mergeCell ref="J53:J54"/>
    <mergeCell ref="K53:K54"/>
    <mergeCell ref="G55:H55"/>
    <mergeCell ref="J56:J58"/>
    <mergeCell ref="J70:N70"/>
    <mergeCell ref="J73:N73"/>
    <mergeCell ref="A60:N60"/>
    <mergeCell ref="B64:N64"/>
    <mergeCell ref="B65:N65"/>
    <mergeCell ref="A67:D67"/>
    <mergeCell ref="J67:N67"/>
    <mergeCell ref="A71:D71"/>
    <mergeCell ref="J71:N71"/>
    <mergeCell ref="E86:I86"/>
    <mergeCell ref="J86:N86"/>
    <mergeCell ref="E87:I89"/>
    <mergeCell ref="A90:B90"/>
    <mergeCell ref="C90:D90"/>
    <mergeCell ref="M11:M14"/>
    <mergeCell ref="N29:N30"/>
    <mergeCell ref="M43:M46"/>
    <mergeCell ref="M51:M58"/>
    <mergeCell ref="N51:N58"/>
    <mergeCell ref="A56:C56"/>
    <mergeCell ref="C57:D57"/>
    <mergeCell ref="C58:D58"/>
    <mergeCell ref="E56:F56"/>
    <mergeCell ref="G56:H56"/>
    <mergeCell ref="I53:I54"/>
    <mergeCell ref="E54:F54"/>
    <mergeCell ref="G54:H54"/>
    <mergeCell ref="K56:K58"/>
    <mergeCell ref="D51:D52"/>
    <mergeCell ref="E57:F57"/>
    <mergeCell ref="B61:N61"/>
    <mergeCell ref="B62:N62"/>
    <mergeCell ref="B63:N63"/>
    <mergeCell ref="A85:D86"/>
    <mergeCell ref="E85:N85"/>
    <mergeCell ref="N91:N94"/>
    <mergeCell ref="A7:D7"/>
    <mergeCell ref="A8:D8"/>
    <mergeCell ref="C51:C52"/>
    <mergeCell ref="A9:D9"/>
    <mergeCell ref="A57:B58"/>
    <mergeCell ref="A49:B50"/>
    <mergeCell ref="A55:C55"/>
    <mergeCell ref="L51:L58"/>
    <mergeCell ref="A51:B52"/>
    <mergeCell ref="F45:F46"/>
    <mergeCell ref="G45:G46"/>
    <mergeCell ref="H45:H46"/>
    <mergeCell ref="A43:A46"/>
    <mergeCell ref="L43:L46"/>
    <mergeCell ref="G57:H57"/>
    <mergeCell ref="E58:F58"/>
    <mergeCell ref="G58:H58"/>
    <mergeCell ref="A53:C54"/>
    <mergeCell ref="A5:D5"/>
    <mergeCell ref="E5:N5"/>
    <mergeCell ref="A6:D6"/>
    <mergeCell ref="E6:I9"/>
    <mergeCell ref="J6:N9"/>
    <mergeCell ref="B43:B46"/>
    <mergeCell ref="C43:C46"/>
    <mergeCell ref="D43:D46"/>
    <mergeCell ref="E43:F44"/>
    <mergeCell ref="G43:H44"/>
    <mergeCell ref="I43:I46"/>
    <mergeCell ref="J43:J46"/>
    <mergeCell ref="K43:K46"/>
    <mergeCell ref="N11:N14"/>
    <mergeCell ref="E13:E14"/>
    <mergeCell ref="F13:F14"/>
    <mergeCell ref="G13:G14"/>
    <mergeCell ref="H13:H14"/>
    <mergeCell ref="J11:J14"/>
    <mergeCell ref="K11:K14"/>
    <mergeCell ref="A10:B10"/>
    <mergeCell ref="C10:D10"/>
    <mergeCell ref="N43:N46"/>
    <mergeCell ref="E45:E46"/>
    <mergeCell ref="U54:V54"/>
    <mergeCell ref="U55:V55"/>
    <mergeCell ref="F1:N1"/>
    <mergeCell ref="F83:N83"/>
    <mergeCell ref="Q54:R54"/>
    <mergeCell ref="S54:T54"/>
    <mergeCell ref="Q55:R55"/>
    <mergeCell ref="S55:T55"/>
    <mergeCell ref="A15:N15"/>
    <mergeCell ref="A11:A14"/>
    <mergeCell ref="B11:B14"/>
    <mergeCell ref="C11:C14"/>
    <mergeCell ref="D11:D14"/>
    <mergeCell ref="E11:F12"/>
    <mergeCell ref="G11:H12"/>
    <mergeCell ref="I11:I14"/>
    <mergeCell ref="L11:L14"/>
    <mergeCell ref="I51:I52"/>
    <mergeCell ref="E52:F52"/>
    <mergeCell ref="G52:H52"/>
    <mergeCell ref="A31:B32"/>
    <mergeCell ref="A33:B33"/>
    <mergeCell ref="N47:N48"/>
    <mergeCell ref="E55:F55"/>
  </mergeCells>
  <pageMargins left="0.26666666666666666" right="0.16666666666666666" top="0.44791666666666669" bottom="0.4062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56"/>
  <sheetViews>
    <sheetView view="pageLayout" workbookViewId="0">
      <selection activeCell="B60" sqref="B60:N60"/>
    </sheetView>
  </sheetViews>
  <sheetFormatPr defaultColWidth="9.140625" defaultRowHeight="21" customHeight="1" x14ac:dyDescent="0.25"/>
  <cols>
    <col min="1" max="1" width="4" style="1" customWidth="1"/>
    <col min="2" max="2" width="13.140625" style="1" customWidth="1"/>
    <col min="3" max="3" width="7.42578125" style="1" customWidth="1"/>
    <col min="4" max="4" width="7.28515625" style="1" customWidth="1"/>
    <col min="5" max="8" width="6.7109375" style="1" customWidth="1"/>
    <col min="9" max="9" width="7.5703125" style="1" customWidth="1"/>
    <col min="10" max="10" width="8.140625" style="1" customWidth="1"/>
    <col min="11" max="11" width="7.28515625" style="1" customWidth="1"/>
    <col min="12" max="12" width="6.5703125" style="1" customWidth="1"/>
    <col min="13" max="13" width="5.42578125" style="1" customWidth="1"/>
    <col min="14" max="14" width="7.7109375" style="1" customWidth="1"/>
    <col min="15" max="15" width="11.85546875" style="1" customWidth="1"/>
    <col min="16" max="16" width="9.140625" style="1"/>
    <col min="17" max="22" width="8.5703125" style="1" customWidth="1"/>
    <col min="23" max="16384" width="9.140625" style="1"/>
  </cols>
  <sheetData>
    <row r="1" spans="1:16" ht="22.15" customHeight="1" x14ac:dyDescent="0.3">
      <c r="A1" s="9" t="s">
        <v>59</v>
      </c>
      <c r="B1" s="6"/>
      <c r="C1" s="6"/>
      <c r="D1" s="6"/>
      <c r="E1" s="6"/>
      <c r="F1" s="265" t="s">
        <v>30</v>
      </c>
      <c r="G1" s="265"/>
      <c r="H1" s="265"/>
      <c r="I1" s="265"/>
      <c r="J1" s="265"/>
      <c r="K1" s="265"/>
      <c r="L1" s="265"/>
      <c r="M1" s="265"/>
      <c r="N1" s="265"/>
      <c r="O1" s="138"/>
      <c r="P1" s="138"/>
    </row>
    <row r="2" spans="1:16" ht="19.899999999999999" customHeight="1" x14ac:dyDescent="0.3">
      <c r="A2" s="6" t="s">
        <v>190</v>
      </c>
      <c r="B2" s="6"/>
      <c r="C2" s="6"/>
      <c r="D2" s="6"/>
      <c r="E2" s="6"/>
      <c r="F2" s="135"/>
      <c r="G2" s="135"/>
      <c r="H2" s="135"/>
      <c r="I2" s="135"/>
      <c r="J2" s="135"/>
      <c r="K2" s="135"/>
      <c r="L2" s="135"/>
      <c r="M2" s="135"/>
      <c r="N2" s="135"/>
      <c r="O2" s="138"/>
      <c r="P2" s="138"/>
    </row>
    <row r="3" spans="1:16" ht="19.899999999999999" customHeight="1" x14ac:dyDescent="0.25">
      <c r="A3" s="184" t="s">
        <v>95</v>
      </c>
      <c r="B3" s="184"/>
      <c r="C3" s="184"/>
      <c r="D3" s="184"/>
      <c r="E3" s="184" t="s">
        <v>93</v>
      </c>
      <c r="F3" s="184"/>
      <c r="G3" s="184"/>
      <c r="H3" s="184"/>
      <c r="I3" s="184"/>
      <c r="J3" s="184"/>
      <c r="K3" s="184"/>
      <c r="L3" s="184"/>
      <c r="M3" s="184"/>
      <c r="N3" s="184"/>
      <c r="O3" s="139"/>
    </row>
    <row r="4" spans="1:16" ht="19.899999999999999" customHeight="1" x14ac:dyDescent="0.25">
      <c r="A4" s="252" t="s">
        <v>83</v>
      </c>
      <c r="B4" s="252"/>
      <c r="C4" s="252"/>
      <c r="D4" s="252"/>
      <c r="E4" s="253" t="s">
        <v>131</v>
      </c>
      <c r="F4" s="253"/>
      <c r="G4" s="253"/>
      <c r="H4" s="253"/>
      <c r="I4" s="253"/>
      <c r="J4" s="284" t="s">
        <v>120</v>
      </c>
      <c r="K4" s="285"/>
      <c r="L4" s="285"/>
      <c r="M4" s="285"/>
      <c r="N4" s="286"/>
      <c r="O4" s="139"/>
    </row>
    <row r="5" spans="1:16" ht="19.899999999999999" customHeight="1" x14ac:dyDescent="0.25">
      <c r="A5" s="258" t="s">
        <v>143</v>
      </c>
      <c r="B5" s="259"/>
      <c r="C5" s="259"/>
      <c r="D5" s="260"/>
      <c r="E5" s="253"/>
      <c r="F5" s="253"/>
      <c r="G5" s="253"/>
      <c r="H5" s="253"/>
      <c r="I5" s="253"/>
      <c r="J5" s="287"/>
      <c r="K5" s="288"/>
      <c r="L5" s="288"/>
      <c r="M5" s="288"/>
      <c r="N5" s="289"/>
      <c r="O5" s="139"/>
    </row>
    <row r="6" spans="1:16" ht="19.899999999999999" customHeight="1" x14ac:dyDescent="0.25">
      <c r="A6" s="257" t="s">
        <v>144</v>
      </c>
      <c r="B6" s="257"/>
      <c r="C6" s="257"/>
      <c r="D6" s="257"/>
      <c r="E6" s="253"/>
      <c r="F6" s="253"/>
      <c r="G6" s="253"/>
      <c r="H6" s="253"/>
      <c r="I6" s="253"/>
      <c r="J6" s="287"/>
      <c r="K6" s="288"/>
      <c r="L6" s="288"/>
      <c r="M6" s="288"/>
      <c r="N6" s="289"/>
      <c r="O6" s="139"/>
    </row>
    <row r="7" spans="1:16" ht="19.899999999999999" customHeight="1" x14ac:dyDescent="0.25">
      <c r="A7" s="261" t="s">
        <v>163</v>
      </c>
      <c r="B7" s="261"/>
      <c r="C7" s="261"/>
      <c r="D7" s="261"/>
      <c r="E7" s="253"/>
      <c r="F7" s="253"/>
      <c r="G7" s="253"/>
      <c r="H7" s="253"/>
      <c r="I7" s="253"/>
      <c r="J7" s="290"/>
      <c r="K7" s="291"/>
      <c r="L7" s="291"/>
      <c r="M7" s="291"/>
      <c r="N7" s="292"/>
      <c r="O7" s="139"/>
    </row>
    <row r="8" spans="1:16" ht="19.899999999999999" customHeight="1" x14ac:dyDescent="0.25">
      <c r="A8" s="303" t="s">
        <v>110</v>
      </c>
      <c r="B8" s="303"/>
      <c r="C8" s="305">
        <v>191</v>
      </c>
      <c r="D8" s="305"/>
      <c r="E8" s="67"/>
      <c r="F8" s="67"/>
      <c r="G8" s="67"/>
      <c r="H8" s="67"/>
      <c r="I8" s="67"/>
      <c r="J8" s="67"/>
      <c r="K8" s="67"/>
      <c r="L8" s="67"/>
      <c r="M8" s="67"/>
      <c r="N8" s="68"/>
      <c r="O8" s="139"/>
    </row>
    <row r="9" spans="1:16" ht="19.899999999999999" customHeight="1" x14ac:dyDescent="0.25">
      <c r="A9" s="233" t="s">
        <v>0</v>
      </c>
      <c r="B9" s="238" t="s">
        <v>19</v>
      </c>
      <c r="C9" s="238" t="s">
        <v>8</v>
      </c>
      <c r="D9" s="238" t="s">
        <v>9</v>
      </c>
      <c r="E9" s="318" t="s">
        <v>11</v>
      </c>
      <c r="F9" s="319"/>
      <c r="G9" s="318" t="s">
        <v>13</v>
      </c>
      <c r="H9" s="319"/>
      <c r="I9" s="233" t="s">
        <v>16</v>
      </c>
      <c r="J9" s="233" t="s">
        <v>32</v>
      </c>
      <c r="K9" s="233" t="s">
        <v>33</v>
      </c>
      <c r="L9" s="233" t="s">
        <v>55</v>
      </c>
      <c r="M9" s="233" t="s">
        <v>56</v>
      </c>
      <c r="N9" s="233" t="s">
        <v>18</v>
      </c>
      <c r="O9" s="140"/>
    </row>
    <row r="10" spans="1:16" ht="19.899999999999999" customHeight="1" x14ac:dyDescent="0.25">
      <c r="A10" s="236"/>
      <c r="B10" s="239"/>
      <c r="C10" s="239"/>
      <c r="D10" s="239"/>
      <c r="E10" s="320"/>
      <c r="F10" s="321"/>
      <c r="G10" s="320"/>
      <c r="H10" s="321"/>
      <c r="I10" s="234"/>
      <c r="J10" s="234"/>
      <c r="K10" s="234"/>
      <c r="L10" s="234"/>
      <c r="M10" s="234"/>
      <c r="N10" s="236"/>
      <c r="O10" s="132"/>
    </row>
    <row r="11" spans="1:16" ht="19.899999999999999" customHeight="1" x14ac:dyDescent="0.25">
      <c r="A11" s="236"/>
      <c r="B11" s="239"/>
      <c r="C11" s="239"/>
      <c r="D11" s="239"/>
      <c r="E11" s="233" t="s">
        <v>10</v>
      </c>
      <c r="F11" s="233" t="s">
        <v>12</v>
      </c>
      <c r="G11" s="233" t="s">
        <v>14</v>
      </c>
      <c r="H11" s="233" t="s">
        <v>15</v>
      </c>
      <c r="I11" s="234"/>
      <c r="J11" s="234"/>
      <c r="K11" s="234"/>
      <c r="L11" s="234"/>
      <c r="M11" s="234"/>
      <c r="N11" s="236"/>
      <c r="O11" s="132"/>
    </row>
    <row r="12" spans="1:16" ht="19.899999999999999" customHeight="1" x14ac:dyDescent="0.25">
      <c r="A12" s="237"/>
      <c r="B12" s="240"/>
      <c r="C12" s="240"/>
      <c r="D12" s="240"/>
      <c r="E12" s="235"/>
      <c r="F12" s="235"/>
      <c r="G12" s="235"/>
      <c r="H12" s="235"/>
      <c r="I12" s="235"/>
      <c r="J12" s="235"/>
      <c r="K12" s="235"/>
      <c r="L12" s="235"/>
      <c r="M12" s="235"/>
      <c r="N12" s="237"/>
      <c r="O12" s="132"/>
    </row>
    <row r="13" spans="1:16" ht="21.6" customHeight="1" x14ac:dyDescent="0.25">
      <c r="A13" s="246" t="s">
        <v>35</v>
      </c>
      <c r="B13" s="247"/>
      <c r="C13" s="247"/>
      <c r="D13" s="247"/>
      <c r="E13" s="247"/>
      <c r="F13" s="247"/>
      <c r="G13" s="247"/>
      <c r="H13" s="247"/>
      <c r="I13" s="247"/>
      <c r="J13" s="247"/>
      <c r="K13" s="247"/>
      <c r="L13" s="247"/>
      <c r="M13" s="247"/>
      <c r="N13" s="248"/>
      <c r="O13" s="132"/>
    </row>
    <row r="14" spans="1:16" ht="21.6" customHeight="1" x14ac:dyDescent="0.25">
      <c r="A14" s="32">
        <v>1</v>
      </c>
      <c r="B14" s="33" t="s">
        <v>2</v>
      </c>
      <c r="C14" s="34">
        <f>L14/100*100</f>
        <v>250</v>
      </c>
      <c r="D14" s="35">
        <f>C14/100*60</f>
        <v>150</v>
      </c>
      <c r="E14" s="36">
        <f>C14/100*15</f>
        <v>37.5</v>
      </c>
      <c r="F14" s="36"/>
      <c r="G14" s="36"/>
      <c r="H14" s="36"/>
      <c r="I14" s="36"/>
      <c r="J14" s="51">
        <f>C14/100*387</f>
        <v>967.5</v>
      </c>
      <c r="K14" s="51">
        <f>C14/100*0.09</f>
        <v>0.22499999999999998</v>
      </c>
      <c r="L14" s="123">
        <v>250</v>
      </c>
      <c r="M14" s="97">
        <v>20</v>
      </c>
      <c r="N14" s="34">
        <f>L14*M14</f>
        <v>5000</v>
      </c>
      <c r="O14" s="3"/>
    </row>
    <row r="15" spans="1:16" ht="21.6" customHeight="1" x14ac:dyDescent="0.25">
      <c r="A15" s="7">
        <v>2</v>
      </c>
      <c r="B15" s="8" t="s">
        <v>121</v>
      </c>
      <c r="C15" s="10">
        <f>L15/100*100</f>
        <v>1110</v>
      </c>
      <c r="D15" s="11">
        <f>C15/100*899</f>
        <v>9978.9</v>
      </c>
      <c r="E15" s="12"/>
      <c r="F15" s="12"/>
      <c r="G15" s="81">
        <f>C15/100*100</f>
        <v>1110</v>
      </c>
      <c r="H15" s="12"/>
      <c r="I15" s="12"/>
      <c r="J15" s="19"/>
      <c r="K15" s="19"/>
      <c r="L15" s="99">
        <v>1110</v>
      </c>
      <c r="M15" s="98">
        <v>68</v>
      </c>
      <c r="N15" s="10">
        <f t="shared" ref="N15:N24" si="0">L15*M15</f>
        <v>75480</v>
      </c>
      <c r="O15" s="3"/>
    </row>
    <row r="16" spans="1:16" ht="21.6" customHeight="1" x14ac:dyDescent="0.25">
      <c r="A16" s="7">
        <v>3</v>
      </c>
      <c r="B16" s="116" t="s">
        <v>126</v>
      </c>
      <c r="C16" s="10">
        <f t="shared" ref="C16" si="1">L16/100*100</f>
        <v>270</v>
      </c>
      <c r="D16" s="57">
        <f>C16/100*900</f>
        <v>2430</v>
      </c>
      <c r="E16" s="12"/>
      <c r="F16" s="12"/>
      <c r="G16" s="81"/>
      <c r="H16" s="12">
        <f>C16/100*100</f>
        <v>270</v>
      </c>
      <c r="I16" s="12"/>
      <c r="J16" s="12"/>
      <c r="K16" s="12"/>
      <c r="L16" s="99">
        <v>270</v>
      </c>
      <c r="M16" s="57">
        <v>63.5</v>
      </c>
      <c r="N16" s="83">
        <f t="shared" si="0"/>
        <v>17145</v>
      </c>
      <c r="O16" s="141"/>
    </row>
    <row r="17" spans="1:20" ht="21.6" customHeight="1" x14ac:dyDescent="0.25">
      <c r="A17" s="7">
        <v>4</v>
      </c>
      <c r="B17" s="4" t="s">
        <v>1</v>
      </c>
      <c r="C17" s="10">
        <f>L17/100*100</f>
        <v>18145</v>
      </c>
      <c r="D17" s="57">
        <f>C17/100*344</f>
        <v>62418.799999999996</v>
      </c>
      <c r="E17" s="12"/>
      <c r="F17" s="81">
        <f>C17/100*7.9</f>
        <v>1433.4549999999999</v>
      </c>
      <c r="G17" s="12"/>
      <c r="H17" s="12">
        <f>C17/100*1</f>
        <v>181.45</v>
      </c>
      <c r="I17" s="81">
        <f>C17/100*72</f>
        <v>13064.4</v>
      </c>
      <c r="J17" s="56">
        <f>C17/100*30</f>
        <v>5443.5</v>
      </c>
      <c r="K17" s="19">
        <f>C17/100*0.1</f>
        <v>18.145</v>
      </c>
      <c r="L17" s="99">
        <v>18145</v>
      </c>
      <c r="M17" s="97">
        <v>18</v>
      </c>
      <c r="N17" s="34">
        <f t="shared" si="0"/>
        <v>326610</v>
      </c>
      <c r="O17" s="3"/>
    </row>
    <row r="18" spans="1:20" ht="21.6" customHeight="1" x14ac:dyDescent="0.25">
      <c r="A18" s="7">
        <v>5</v>
      </c>
      <c r="B18" s="8" t="s">
        <v>145</v>
      </c>
      <c r="C18" s="10">
        <f>L18/100*60</f>
        <v>8598</v>
      </c>
      <c r="D18" s="11">
        <f>C18/100*97</f>
        <v>8340.06</v>
      </c>
      <c r="E18" s="81">
        <f>C18/100*22</f>
        <v>1891.5600000000002</v>
      </c>
      <c r="F18" s="12"/>
      <c r="G18" s="12">
        <f>C18/100*2.7</f>
        <v>232.14600000000002</v>
      </c>
      <c r="H18" s="12"/>
      <c r="I18" s="12"/>
      <c r="J18" s="56">
        <f>C18/100*90</f>
        <v>7738.2000000000007</v>
      </c>
      <c r="K18" s="19">
        <f>C18/100*0.04</f>
        <v>3.4392</v>
      </c>
      <c r="L18" s="99">
        <v>14330</v>
      </c>
      <c r="M18" s="17">
        <v>95</v>
      </c>
      <c r="N18" s="83">
        <f t="shared" si="0"/>
        <v>1361350</v>
      </c>
      <c r="O18" s="3"/>
    </row>
    <row r="19" spans="1:20" ht="21.6" customHeight="1" x14ac:dyDescent="0.25">
      <c r="A19" s="7">
        <v>6</v>
      </c>
      <c r="B19" s="116" t="s">
        <v>66</v>
      </c>
      <c r="C19" s="10">
        <f>L19/100*98</f>
        <v>1871.8000000000002</v>
      </c>
      <c r="D19" s="11">
        <f>C19/100*139</f>
        <v>2601.8020000000006</v>
      </c>
      <c r="E19" s="12">
        <f>C19/100*19</f>
        <v>355.64200000000005</v>
      </c>
      <c r="F19" s="12"/>
      <c r="G19" s="12">
        <f>C19/100*7</f>
        <v>131.02600000000001</v>
      </c>
      <c r="H19" s="12"/>
      <c r="I19" s="12"/>
      <c r="J19" s="19">
        <f>C19/100*7</f>
        <v>131.02600000000001</v>
      </c>
      <c r="K19" s="19">
        <f>C19/100*0.9</f>
        <v>16.846200000000003</v>
      </c>
      <c r="L19" s="99">
        <v>1910</v>
      </c>
      <c r="M19" s="99">
        <v>130</v>
      </c>
      <c r="N19" s="10">
        <f t="shared" si="0"/>
        <v>248300</v>
      </c>
      <c r="O19" s="3"/>
    </row>
    <row r="20" spans="1:20" ht="21.6" customHeight="1" x14ac:dyDescent="0.25">
      <c r="A20" s="7">
        <v>7</v>
      </c>
      <c r="B20" s="4" t="s">
        <v>3</v>
      </c>
      <c r="C20" s="10">
        <f>L20/100*48</f>
        <v>2280</v>
      </c>
      <c r="D20" s="11">
        <f>C20/100*199</f>
        <v>4537.2</v>
      </c>
      <c r="E20" s="12">
        <f>C20/100*20.3</f>
        <v>462.84000000000003</v>
      </c>
      <c r="F20" s="12"/>
      <c r="G20" s="12">
        <f>C20/100*13.1</f>
        <v>298.68</v>
      </c>
      <c r="H20" s="12"/>
      <c r="I20" s="12"/>
      <c r="J20" s="19">
        <f>C20/100*12</f>
        <v>273.60000000000002</v>
      </c>
      <c r="K20" s="19">
        <f>C20/100*0.15</f>
        <v>3.42</v>
      </c>
      <c r="L20" s="99">
        <v>4750</v>
      </c>
      <c r="M20" s="13">
        <v>84</v>
      </c>
      <c r="N20" s="10">
        <f t="shared" si="0"/>
        <v>399000</v>
      </c>
      <c r="O20" s="3"/>
      <c r="Q20" s="2"/>
      <c r="R20" s="2"/>
      <c r="S20" s="3"/>
    </row>
    <row r="21" spans="1:20" ht="21.6" customHeight="1" x14ac:dyDescent="0.25">
      <c r="A21" s="7">
        <v>8</v>
      </c>
      <c r="B21" s="4" t="s">
        <v>117</v>
      </c>
      <c r="C21" s="10">
        <f>L21/100*100</f>
        <v>190</v>
      </c>
      <c r="D21" s="11">
        <f>C21/100*247</f>
        <v>469.29999999999995</v>
      </c>
      <c r="E21" s="14"/>
      <c r="F21" s="14">
        <f>C21/100*17.5</f>
        <v>33.25</v>
      </c>
      <c r="G21" s="14"/>
      <c r="H21" s="14">
        <f>C21/100*1.6</f>
        <v>3.04</v>
      </c>
      <c r="I21" s="14">
        <f>C21/100*39.2</f>
        <v>74.48</v>
      </c>
      <c r="J21" s="18"/>
      <c r="K21" s="18"/>
      <c r="L21" s="143">
        <v>190</v>
      </c>
      <c r="M21" s="17">
        <v>50</v>
      </c>
      <c r="N21" s="10">
        <f t="shared" si="0"/>
        <v>9500</v>
      </c>
      <c r="O21" s="3"/>
      <c r="Q21" s="2"/>
      <c r="R21" s="2"/>
      <c r="S21" s="3"/>
      <c r="T21" s="2"/>
    </row>
    <row r="22" spans="1:20" ht="21.6" customHeight="1" x14ac:dyDescent="0.25">
      <c r="A22" s="7">
        <v>9</v>
      </c>
      <c r="B22" s="4" t="s">
        <v>139</v>
      </c>
      <c r="C22" s="10">
        <f>L22/100*87</f>
        <v>5820.3</v>
      </c>
      <c r="D22" s="11">
        <f>C22/100*21</f>
        <v>1222.2630000000001</v>
      </c>
      <c r="E22" s="14"/>
      <c r="F22" s="14">
        <f>C22/100*1.5</f>
        <v>87.304500000000004</v>
      </c>
      <c r="G22" s="14"/>
      <c r="H22" s="14">
        <f>C22/100*0.1</f>
        <v>5.8203000000000005</v>
      </c>
      <c r="I22" s="14">
        <f>C22/100*3.6</f>
        <v>209.53080000000003</v>
      </c>
      <c r="J22" s="14">
        <f>C22/100*40</f>
        <v>2328.12</v>
      </c>
      <c r="K22" s="14">
        <f>C22/100*0.06</f>
        <v>3.4921799999999998</v>
      </c>
      <c r="L22" s="144">
        <v>6690</v>
      </c>
      <c r="M22" s="13">
        <v>18</v>
      </c>
      <c r="N22" s="10">
        <f t="shared" si="0"/>
        <v>120420</v>
      </c>
      <c r="O22" s="3"/>
      <c r="Q22" s="2"/>
      <c r="R22" s="2"/>
      <c r="S22" s="3"/>
    </row>
    <row r="23" spans="1:20" ht="20.45" customHeight="1" x14ac:dyDescent="0.25">
      <c r="A23" s="7">
        <v>10</v>
      </c>
      <c r="B23" s="4" t="s">
        <v>5</v>
      </c>
      <c r="C23" s="10">
        <f>L23/100*98.5</f>
        <v>955.44999999999993</v>
      </c>
      <c r="D23" s="11">
        <f>C23/100*39</f>
        <v>372.62549999999999</v>
      </c>
      <c r="E23" s="14"/>
      <c r="F23" s="14">
        <f>C23/100*1.5</f>
        <v>14.33175</v>
      </c>
      <c r="G23" s="14"/>
      <c r="H23" s="14">
        <f>C23/100*0.2</f>
        <v>1.9108999999999998</v>
      </c>
      <c r="I23" s="14">
        <f>C23/100*7.8</f>
        <v>74.525099999999995</v>
      </c>
      <c r="J23" s="14">
        <f>C23/100*43</f>
        <v>410.84349999999995</v>
      </c>
      <c r="K23" s="14">
        <f>C23/100*0.06</f>
        <v>0.57326999999999995</v>
      </c>
      <c r="L23" s="144">
        <v>970</v>
      </c>
      <c r="M23" s="13">
        <v>17</v>
      </c>
      <c r="N23" s="10">
        <f t="shared" si="0"/>
        <v>16490</v>
      </c>
      <c r="O23" s="3"/>
      <c r="Q23" s="2"/>
      <c r="R23" s="2"/>
      <c r="S23" s="3"/>
    </row>
    <row r="24" spans="1:20" ht="21.6" customHeight="1" x14ac:dyDescent="0.25">
      <c r="A24" s="7">
        <v>11</v>
      </c>
      <c r="B24" s="4" t="s">
        <v>135</v>
      </c>
      <c r="C24" s="10">
        <f>L24/100*81</f>
        <v>3402</v>
      </c>
      <c r="D24" s="11">
        <f>C24/100*17</f>
        <v>578.34</v>
      </c>
      <c r="E24" s="14"/>
      <c r="F24" s="14">
        <f>C24/100*0.9</f>
        <v>30.618000000000002</v>
      </c>
      <c r="G24" s="14"/>
      <c r="H24" s="14">
        <f>C24/100*0.2</f>
        <v>6.8040000000000012</v>
      </c>
      <c r="I24" s="14">
        <f>C24/100*2.8</f>
        <v>95.256</v>
      </c>
      <c r="J24" s="12">
        <f>C24/100*28</f>
        <v>952.56000000000006</v>
      </c>
      <c r="K24" s="19">
        <f>C24/100*0.04</f>
        <v>1.3608000000000002</v>
      </c>
      <c r="L24" s="144">
        <v>4200</v>
      </c>
      <c r="M24" s="17">
        <v>20</v>
      </c>
      <c r="N24" s="10">
        <f t="shared" si="0"/>
        <v>84000</v>
      </c>
      <c r="O24" s="3"/>
      <c r="P24" s="2"/>
    </row>
    <row r="25" spans="1:20" ht="21.6" customHeight="1" x14ac:dyDescent="0.25">
      <c r="A25" s="7">
        <v>12</v>
      </c>
      <c r="B25" s="8" t="s">
        <v>111</v>
      </c>
      <c r="C25" s="10"/>
      <c r="D25" s="11"/>
      <c r="E25" s="12"/>
      <c r="F25" s="12"/>
      <c r="G25" s="12"/>
      <c r="H25" s="12"/>
      <c r="I25" s="12"/>
      <c r="J25" s="12"/>
      <c r="K25" s="12"/>
      <c r="L25" s="13"/>
      <c r="M25" s="13"/>
      <c r="N25" s="10">
        <v>14250</v>
      </c>
      <c r="O25" s="3"/>
    </row>
    <row r="26" spans="1:20" ht="21.6" customHeight="1" x14ac:dyDescent="0.25">
      <c r="A26" s="20" t="s">
        <v>97</v>
      </c>
      <c r="B26" s="21"/>
      <c r="C26" s="22"/>
      <c r="D26" s="84">
        <f>SUM(D14:D25)</f>
        <v>93099.290499999988</v>
      </c>
      <c r="E26" s="24"/>
      <c r="F26" s="24"/>
      <c r="G26" s="24"/>
      <c r="H26" s="24"/>
      <c r="I26" s="24"/>
      <c r="J26" s="24"/>
      <c r="K26" s="24"/>
      <c r="L26" s="25"/>
      <c r="M26" s="25"/>
      <c r="N26" s="215">
        <f>SUM(N14:N25)</f>
        <v>2677545</v>
      </c>
      <c r="O26" s="3"/>
    </row>
    <row r="27" spans="1:20" ht="21.6" customHeight="1" x14ac:dyDescent="0.25">
      <c r="A27" s="20" t="s">
        <v>6</v>
      </c>
      <c r="B27" s="21"/>
      <c r="C27" s="22"/>
      <c r="D27" s="23">
        <f>D26/C8</f>
        <v>487.43084031413605</v>
      </c>
      <c r="E27" s="24"/>
      <c r="F27" s="24"/>
      <c r="G27" s="24"/>
      <c r="H27" s="24"/>
      <c r="I27" s="24"/>
      <c r="J27" s="24"/>
      <c r="K27" s="24"/>
      <c r="L27" s="25"/>
      <c r="M27" s="25"/>
      <c r="N27" s="216"/>
      <c r="O27" s="3"/>
    </row>
    <row r="28" spans="1:20" ht="21.6" customHeight="1" x14ac:dyDescent="0.25">
      <c r="A28" s="307" t="s">
        <v>50</v>
      </c>
      <c r="B28" s="218"/>
      <c r="C28" s="145" t="s">
        <v>132</v>
      </c>
      <c r="D28" s="26" t="s">
        <v>38</v>
      </c>
      <c r="E28" s="24"/>
      <c r="F28" s="24"/>
      <c r="G28" s="24"/>
      <c r="H28" s="24"/>
      <c r="I28" s="24"/>
      <c r="J28" s="24"/>
      <c r="K28" s="24"/>
      <c r="L28" s="25"/>
      <c r="M28" s="25"/>
      <c r="N28" s="27"/>
      <c r="O28" s="3"/>
    </row>
    <row r="29" spans="1:20" ht="21.6" customHeight="1" x14ac:dyDescent="0.25">
      <c r="A29" s="219"/>
      <c r="B29" s="220"/>
      <c r="C29" s="54" t="s">
        <v>58</v>
      </c>
      <c r="D29" s="26">
        <f>D27*100/1320</f>
        <v>36.926578811676976</v>
      </c>
      <c r="E29" s="24"/>
      <c r="F29" s="24"/>
      <c r="G29" s="24"/>
      <c r="H29" s="24"/>
      <c r="I29" s="24"/>
      <c r="J29" s="24"/>
      <c r="K29" s="24"/>
      <c r="L29" s="25"/>
      <c r="M29" s="25"/>
      <c r="N29" s="27"/>
      <c r="O29" s="3"/>
    </row>
    <row r="30" spans="1:20" ht="21.6" customHeight="1" x14ac:dyDescent="0.3">
      <c r="A30" s="245" t="s">
        <v>39</v>
      </c>
      <c r="B30" s="245"/>
      <c r="C30" s="39"/>
      <c r="D30" s="40"/>
      <c r="E30" s="41"/>
      <c r="F30" s="41"/>
      <c r="G30" s="41"/>
      <c r="H30" s="41"/>
      <c r="I30" s="41"/>
      <c r="J30" s="41"/>
      <c r="K30" s="41"/>
      <c r="L30" s="42"/>
      <c r="M30" s="42"/>
      <c r="N30" s="43"/>
      <c r="O30" s="3"/>
    </row>
    <row r="31" spans="1:20" ht="21.6" customHeight="1" x14ac:dyDescent="0.25">
      <c r="A31" s="32">
        <v>1</v>
      </c>
      <c r="B31" s="33" t="s">
        <v>2</v>
      </c>
      <c r="C31" s="34">
        <f>L31/100*100</f>
        <v>229.99999999999997</v>
      </c>
      <c r="D31" s="35">
        <f>C31/100*60</f>
        <v>138</v>
      </c>
      <c r="E31" s="36">
        <f>C31/100*15</f>
        <v>34.5</v>
      </c>
      <c r="F31" s="36"/>
      <c r="G31" s="36"/>
      <c r="H31" s="36"/>
      <c r="I31" s="36"/>
      <c r="J31" s="51">
        <f>C31/100*387</f>
        <v>890.09999999999991</v>
      </c>
      <c r="K31" s="51">
        <f>C31/100*0.09</f>
        <v>0.20699999999999999</v>
      </c>
      <c r="L31" s="123">
        <v>230</v>
      </c>
      <c r="M31" s="38">
        <v>20</v>
      </c>
      <c r="N31" s="34">
        <f>L31*M31</f>
        <v>4600</v>
      </c>
      <c r="O31" s="3"/>
    </row>
    <row r="32" spans="1:20" ht="21.6" customHeight="1" x14ac:dyDescent="0.25">
      <c r="A32" s="7">
        <v>2</v>
      </c>
      <c r="B32" s="8" t="s">
        <v>121</v>
      </c>
      <c r="C32" s="10">
        <f>L32/100*100</f>
        <v>1140</v>
      </c>
      <c r="D32" s="57">
        <f>C32/100*899</f>
        <v>10248.6</v>
      </c>
      <c r="E32" s="12"/>
      <c r="F32" s="12"/>
      <c r="G32" s="81">
        <f>C32/100*100</f>
        <v>1140</v>
      </c>
      <c r="H32" s="12"/>
      <c r="I32" s="12"/>
      <c r="J32" s="19"/>
      <c r="K32" s="19"/>
      <c r="L32" s="99">
        <v>1140</v>
      </c>
      <c r="M32" s="98">
        <v>68</v>
      </c>
      <c r="N32" s="10">
        <f t="shared" ref="N32:N36" si="2">L32*M32</f>
        <v>77520</v>
      </c>
      <c r="O32" s="3"/>
    </row>
    <row r="33" spans="1:20" ht="21.6" customHeight="1" x14ac:dyDescent="0.25">
      <c r="A33" s="7">
        <v>3</v>
      </c>
      <c r="B33" s="4" t="s">
        <v>65</v>
      </c>
      <c r="C33" s="10">
        <f>L33/100*100</f>
        <v>1910.0000000000002</v>
      </c>
      <c r="D33" s="11">
        <f>C33/100*344</f>
        <v>6570.4000000000005</v>
      </c>
      <c r="E33" s="12"/>
      <c r="F33" s="12">
        <f>C33/100*8.6</f>
        <v>164.26000000000002</v>
      </c>
      <c r="G33" s="12"/>
      <c r="H33" s="12">
        <f>C33/100*1.5</f>
        <v>28.650000000000002</v>
      </c>
      <c r="I33" s="81">
        <f>C33/100*74.5</f>
        <v>1422.95</v>
      </c>
      <c r="J33" s="12">
        <f>C33/100*32</f>
        <v>611.20000000000005</v>
      </c>
      <c r="K33" s="12">
        <f>C33/100*0.14</f>
        <v>2.6740000000000004</v>
      </c>
      <c r="L33" s="99">
        <v>1910</v>
      </c>
      <c r="M33" s="17">
        <v>30</v>
      </c>
      <c r="N33" s="10">
        <f t="shared" si="2"/>
        <v>57300</v>
      </c>
      <c r="O33" s="3"/>
      <c r="P33" s="146"/>
    </row>
    <row r="34" spans="1:20" ht="21.6" customHeight="1" x14ac:dyDescent="0.25">
      <c r="A34" s="7">
        <v>4</v>
      </c>
      <c r="B34" s="4" t="s">
        <v>1</v>
      </c>
      <c r="C34" s="10">
        <f>L34/100*100</f>
        <v>2865</v>
      </c>
      <c r="D34" s="11">
        <f>C34/100*344</f>
        <v>9855.6</v>
      </c>
      <c r="E34" s="12"/>
      <c r="F34" s="12">
        <f>C34/100*7.9</f>
        <v>226.33500000000001</v>
      </c>
      <c r="G34" s="12"/>
      <c r="H34" s="12">
        <f>C34/100*1</f>
        <v>28.65</v>
      </c>
      <c r="I34" s="81">
        <f>C34/100*72</f>
        <v>2062.7999999999997</v>
      </c>
      <c r="J34" s="19">
        <f>C34/100*30</f>
        <v>859.5</v>
      </c>
      <c r="K34" s="19">
        <f>C34/100*0.1</f>
        <v>2.8650000000000002</v>
      </c>
      <c r="L34" s="99">
        <v>2865</v>
      </c>
      <c r="M34" s="17">
        <v>18</v>
      </c>
      <c r="N34" s="10">
        <f t="shared" si="2"/>
        <v>51570</v>
      </c>
      <c r="O34" s="3"/>
    </row>
    <row r="35" spans="1:20" ht="21.6" customHeight="1" x14ac:dyDescent="0.25">
      <c r="A35" s="7">
        <v>5</v>
      </c>
      <c r="B35" s="4" t="s">
        <v>117</v>
      </c>
      <c r="C35" s="10">
        <f>L35/100*100</f>
        <v>110.00000000000001</v>
      </c>
      <c r="D35" s="11">
        <f>C35/100*247</f>
        <v>271.70000000000005</v>
      </c>
      <c r="E35" s="14"/>
      <c r="F35" s="14">
        <f>C35/100*17.5</f>
        <v>19.25</v>
      </c>
      <c r="G35" s="14"/>
      <c r="H35" s="14">
        <f>C35/100*1.6</f>
        <v>1.7600000000000002</v>
      </c>
      <c r="I35" s="14">
        <f>C35/100*39.2</f>
        <v>43.120000000000005</v>
      </c>
      <c r="J35" s="18"/>
      <c r="K35" s="18"/>
      <c r="L35" s="143">
        <v>110</v>
      </c>
      <c r="M35" s="17">
        <v>50</v>
      </c>
      <c r="N35" s="10">
        <f t="shared" si="2"/>
        <v>5500</v>
      </c>
      <c r="O35" s="3"/>
      <c r="Q35" s="2"/>
      <c r="R35" s="2"/>
      <c r="S35" s="3"/>
      <c r="T35" s="2"/>
    </row>
    <row r="36" spans="1:20" ht="21.6" customHeight="1" x14ac:dyDescent="0.25">
      <c r="A36" s="7">
        <v>6</v>
      </c>
      <c r="B36" s="4" t="s">
        <v>80</v>
      </c>
      <c r="C36" s="10">
        <f>L36/100*82</f>
        <v>3132.4</v>
      </c>
      <c r="D36" s="11">
        <f>C36/100*27</f>
        <v>845.74800000000005</v>
      </c>
      <c r="E36" s="14"/>
      <c r="F36" s="14">
        <f>C36/100*0.3</f>
        <v>9.3971999999999998</v>
      </c>
      <c r="G36" s="14"/>
      <c r="H36" s="14">
        <f>C36/100*0.1</f>
        <v>3.1324000000000005</v>
      </c>
      <c r="I36" s="14">
        <f>C36/100*6.1</f>
        <v>191.07640000000001</v>
      </c>
      <c r="J36" s="55">
        <f>C36/100*24</f>
        <v>751.77600000000007</v>
      </c>
      <c r="K36" s="18">
        <f>C36/100*0.03</f>
        <v>0.93972</v>
      </c>
      <c r="L36" s="143">
        <v>3820</v>
      </c>
      <c r="M36" s="13">
        <v>22</v>
      </c>
      <c r="N36" s="10">
        <f t="shared" si="2"/>
        <v>84040</v>
      </c>
      <c r="O36" s="3"/>
      <c r="Q36" s="2"/>
      <c r="R36" s="2"/>
      <c r="S36" s="3"/>
    </row>
    <row r="37" spans="1:20" ht="21.6" customHeight="1" x14ac:dyDescent="0.25">
      <c r="A37" s="7">
        <v>7</v>
      </c>
      <c r="B37" s="8" t="s">
        <v>92</v>
      </c>
      <c r="C37" s="10">
        <f>L37/100*43</f>
        <v>1268.5</v>
      </c>
      <c r="D37" s="11">
        <f>C37/100*83</f>
        <v>1052.855</v>
      </c>
      <c r="E37" s="12">
        <f>C37/100*7.7</f>
        <v>97.674500000000009</v>
      </c>
      <c r="F37" s="12"/>
      <c r="G37" s="12">
        <f>C37/100*5.5</f>
        <v>69.767499999999998</v>
      </c>
      <c r="H37" s="12"/>
      <c r="I37" s="12"/>
      <c r="J37" s="19"/>
      <c r="K37" s="19"/>
      <c r="L37" s="99">
        <v>2950</v>
      </c>
      <c r="M37" s="17">
        <v>132</v>
      </c>
      <c r="N37" s="10">
        <f>L37*M37</f>
        <v>389400</v>
      </c>
      <c r="O37" s="3"/>
    </row>
    <row r="38" spans="1:20" ht="21.6" customHeight="1" x14ac:dyDescent="0.25">
      <c r="A38" s="7">
        <v>8</v>
      </c>
      <c r="B38" s="125" t="s">
        <v>130</v>
      </c>
      <c r="C38" s="10">
        <f>L38/100*100</f>
        <v>3240</v>
      </c>
      <c r="D38" s="57">
        <f>C38/100*487</f>
        <v>15778.8</v>
      </c>
      <c r="E38" s="12"/>
      <c r="F38" s="12">
        <f>C38/100*19.5</f>
        <v>631.79999999999995</v>
      </c>
      <c r="G38" s="12"/>
      <c r="H38" s="12">
        <f>C38/100*23.2</f>
        <v>751.68</v>
      </c>
      <c r="I38" s="81">
        <f>C38/100*46</f>
        <v>1490.3999999999999</v>
      </c>
      <c r="J38" s="81">
        <f>C38/100*680</f>
        <v>22032</v>
      </c>
      <c r="K38" s="12">
        <f>C38/100*0.55</f>
        <v>17.82</v>
      </c>
      <c r="L38" s="13">
        <v>3240</v>
      </c>
      <c r="M38" s="91">
        <v>260</v>
      </c>
      <c r="N38" s="10">
        <f t="shared" ref="N38" si="3">L38*M38</f>
        <v>842400</v>
      </c>
      <c r="O38" s="3"/>
      <c r="P38" s="2"/>
    </row>
    <row r="39" spans="1:20" ht="21.6" customHeight="1" x14ac:dyDescent="0.25">
      <c r="A39" s="69">
        <v>9</v>
      </c>
      <c r="B39" s="70" t="s">
        <v>111</v>
      </c>
      <c r="C39" s="71"/>
      <c r="D39" s="72"/>
      <c r="E39" s="73"/>
      <c r="F39" s="73"/>
      <c r="G39" s="73"/>
      <c r="H39" s="73"/>
      <c r="I39" s="73"/>
      <c r="J39" s="73"/>
      <c r="K39" s="73"/>
      <c r="L39" s="74"/>
      <c r="M39" s="74"/>
      <c r="N39" s="71">
        <v>12600</v>
      </c>
      <c r="O39" s="3"/>
    </row>
    <row r="40" spans="1:20" ht="21" customHeight="1" x14ac:dyDescent="0.25">
      <c r="A40" s="233" t="s">
        <v>0</v>
      </c>
      <c r="B40" s="238" t="s">
        <v>19</v>
      </c>
      <c r="C40" s="238" t="s">
        <v>8</v>
      </c>
      <c r="D40" s="238" t="s">
        <v>9</v>
      </c>
      <c r="E40" s="318" t="s">
        <v>11</v>
      </c>
      <c r="F40" s="319"/>
      <c r="G40" s="318" t="s">
        <v>13</v>
      </c>
      <c r="H40" s="319"/>
      <c r="I40" s="233" t="s">
        <v>16</v>
      </c>
      <c r="J40" s="233" t="s">
        <v>32</v>
      </c>
      <c r="K40" s="233" t="s">
        <v>33</v>
      </c>
      <c r="L40" s="233" t="s">
        <v>55</v>
      </c>
      <c r="M40" s="233" t="s">
        <v>56</v>
      </c>
      <c r="N40" s="233" t="s">
        <v>18</v>
      </c>
      <c r="O40" s="140"/>
    </row>
    <row r="41" spans="1:20" ht="21" customHeight="1" x14ac:dyDescent="0.25">
      <c r="A41" s="236"/>
      <c r="B41" s="239"/>
      <c r="C41" s="239"/>
      <c r="D41" s="239"/>
      <c r="E41" s="320"/>
      <c r="F41" s="321"/>
      <c r="G41" s="320"/>
      <c r="H41" s="321"/>
      <c r="I41" s="234"/>
      <c r="J41" s="234"/>
      <c r="K41" s="234"/>
      <c r="L41" s="234"/>
      <c r="M41" s="234"/>
      <c r="N41" s="236"/>
      <c r="O41" s="132"/>
    </row>
    <row r="42" spans="1:20" ht="21" customHeight="1" x14ac:dyDescent="0.25">
      <c r="A42" s="236"/>
      <c r="B42" s="239"/>
      <c r="C42" s="239"/>
      <c r="D42" s="239"/>
      <c r="E42" s="233" t="s">
        <v>10</v>
      </c>
      <c r="F42" s="233" t="s">
        <v>12</v>
      </c>
      <c r="G42" s="233" t="s">
        <v>14</v>
      </c>
      <c r="H42" s="233" t="s">
        <v>15</v>
      </c>
      <c r="I42" s="234"/>
      <c r="J42" s="234"/>
      <c r="K42" s="234"/>
      <c r="L42" s="234"/>
      <c r="M42" s="234"/>
      <c r="N42" s="236"/>
      <c r="O42" s="132"/>
    </row>
    <row r="43" spans="1:20" ht="21" customHeight="1" x14ac:dyDescent="0.25">
      <c r="A43" s="237"/>
      <c r="B43" s="240"/>
      <c r="C43" s="240"/>
      <c r="D43" s="240"/>
      <c r="E43" s="235"/>
      <c r="F43" s="235"/>
      <c r="G43" s="235"/>
      <c r="H43" s="235"/>
      <c r="I43" s="235"/>
      <c r="J43" s="235"/>
      <c r="K43" s="235"/>
      <c r="L43" s="235"/>
      <c r="M43" s="235"/>
      <c r="N43" s="237"/>
      <c r="O43" s="132"/>
    </row>
    <row r="44" spans="1:20" ht="21" customHeight="1" x14ac:dyDescent="0.25">
      <c r="A44" s="20" t="s">
        <v>108</v>
      </c>
      <c r="B44" s="21"/>
      <c r="C44" s="22"/>
      <c r="D44" s="84">
        <f>SUM(D31:D39)</f>
        <v>44761.702999999994</v>
      </c>
      <c r="E44" s="5"/>
      <c r="F44" s="5"/>
      <c r="G44" s="5"/>
      <c r="H44" s="5"/>
      <c r="I44" s="5"/>
      <c r="J44" s="5"/>
      <c r="K44" s="5"/>
      <c r="L44" s="28"/>
      <c r="M44" s="28"/>
      <c r="N44" s="322">
        <f>SUM(N31:N39)</f>
        <v>1524930</v>
      </c>
      <c r="O44" s="3"/>
    </row>
    <row r="45" spans="1:20" ht="21" customHeight="1" x14ac:dyDescent="0.25">
      <c r="A45" s="20" t="s">
        <v>7</v>
      </c>
      <c r="B45" s="21"/>
      <c r="C45" s="29"/>
      <c r="D45" s="30">
        <f>D44/C8</f>
        <v>234.35446596858637</v>
      </c>
      <c r="E45" s="30"/>
      <c r="F45" s="30"/>
      <c r="G45" s="30"/>
      <c r="H45" s="30"/>
      <c r="I45" s="30"/>
      <c r="J45" s="30"/>
      <c r="K45" s="30"/>
      <c r="L45" s="28"/>
      <c r="M45" s="28"/>
      <c r="N45" s="323"/>
      <c r="O45" s="3"/>
    </row>
    <row r="46" spans="1:20" ht="21" customHeight="1" x14ac:dyDescent="0.25">
      <c r="A46" s="307" t="s">
        <v>51</v>
      </c>
      <c r="B46" s="218"/>
      <c r="C46" s="145" t="s">
        <v>132</v>
      </c>
      <c r="D46" s="26" t="s">
        <v>41</v>
      </c>
      <c r="E46" s="30"/>
      <c r="F46" s="30"/>
      <c r="G46" s="30"/>
      <c r="H46" s="30"/>
      <c r="I46" s="30"/>
      <c r="J46" s="31"/>
      <c r="K46" s="31"/>
      <c r="L46" s="28"/>
      <c r="M46" s="28"/>
      <c r="N46" s="137"/>
      <c r="O46" s="3"/>
    </row>
    <row r="47" spans="1:20" ht="21" customHeight="1" x14ac:dyDescent="0.25">
      <c r="A47" s="219"/>
      <c r="B47" s="220"/>
      <c r="C47" s="54" t="s">
        <v>58</v>
      </c>
      <c r="D47" s="26">
        <f>D45*100/1320</f>
        <v>17.754126209741393</v>
      </c>
      <c r="E47" s="30"/>
      <c r="F47" s="30"/>
      <c r="G47" s="30"/>
      <c r="H47" s="30"/>
      <c r="I47" s="30"/>
      <c r="J47" s="31"/>
      <c r="K47" s="31"/>
      <c r="L47" s="28"/>
      <c r="M47" s="28"/>
      <c r="N47" s="137"/>
      <c r="O47" s="3"/>
    </row>
    <row r="48" spans="1:20" ht="21" customHeight="1" x14ac:dyDescent="0.25">
      <c r="A48" s="221" t="s">
        <v>99</v>
      </c>
      <c r="B48" s="222"/>
      <c r="C48" s="225"/>
      <c r="D48" s="276">
        <f>D26+D44</f>
        <v>137860.99349999998</v>
      </c>
      <c r="E48" s="86">
        <f t="shared" ref="E48:K48" si="4">SUM(E14:E39)</f>
        <v>2879.7165000000005</v>
      </c>
      <c r="F48" s="86">
        <f t="shared" si="4"/>
        <v>2650.0014499999997</v>
      </c>
      <c r="G48" s="86">
        <f t="shared" si="4"/>
        <v>2981.6194999999998</v>
      </c>
      <c r="H48" s="85">
        <f t="shared" si="4"/>
        <v>1282.8975999999998</v>
      </c>
      <c r="I48" s="231">
        <f t="shared" si="4"/>
        <v>18728.538300000004</v>
      </c>
      <c r="J48" s="278">
        <f t="shared" si="4"/>
        <v>43389.925499999998</v>
      </c>
      <c r="K48" s="229">
        <f t="shared" si="4"/>
        <v>72.007370000000009</v>
      </c>
      <c r="L48" s="193"/>
      <c r="M48" s="193"/>
      <c r="N48" s="194">
        <f>N26+N44</f>
        <v>4202475</v>
      </c>
    </row>
    <row r="49" spans="1:22" ht="21" customHeight="1" x14ac:dyDescent="0.25">
      <c r="A49" s="223"/>
      <c r="B49" s="224"/>
      <c r="C49" s="226"/>
      <c r="D49" s="277"/>
      <c r="E49" s="195">
        <f>E48+F48</f>
        <v>5529.7179500000002</v>
      </c>
      <c r="F49" s="196"/>
      <c r="G49" s="195">
        <f>G48+H48</f>
        <v>4264.5170999999991</v>
      </c>
      <c r="H49" s="196"/>
      <c r="I49" s="232"/>
      <c r="J49" s="279"/>
      <c r="K49" s="230"/>
      <c r="L49" s="193"/>
      <c r="M49" s="193"/>
      <c r="N49" s="194"/>
    </row>
    <row r="50" spans="1:22" ht="21" customHeight="1" x14ac:dyDescent="0.25">
      <c r="A50" s="200" t="s">
        <v>75</v>
      </c>
      <c r="B50" s="201"/>
      <c r="C50" s="202"/>
      <c r="D50" s="124">
        <f>D48/C8</f>
        <v>721.78530628272244</v>
      </c>
      <c r="E50" s="96">
        <f>E48/C8</f>
        <v>15.077049738219898</v>
      </c>
      <c r="F50" s="95">
        <f>F48/C8</f>
        <v>13.874353141361254</v>
      </c>
      <c r="G50" s="96">
        <f>G48/C8</f>
        <v>15.610573298429319</v>
      </c>
      <c r="H50" s="95">
        <f>H48/C8</f>
        <v>6.7167413612565436</v>
      </c>
      <c r="I50" s="206">
        <f>I48/C8</f>
        <v>98.055174345549759</v>
      </c>
      <c r="J50" s="274">
        <f>J48/C8</f>
        <v>227.17238481675392</v>
      </c>
      <c r="K50" s="206">
        <f>K48/C8</f>
        <v>0.37700193717277491</v>
      </c>
      <c r="L50" s="193"/>
      <c r="M50" s="193"/>
      <c r="N50" s="194"/>
    </row>
    <row r="51" spans="1:22" ht="21" customHeight="1" x14ac:dyDescent="0.25">
      <c r="A51" s="203"/>
      <c r="B51" s="204"/>
      <c r="C51" s="205"/>
      <c r="D51" s="87"/>
      <c r="E51" s="190">
        <f>E50+F50</f>
        <v>28.951402879581153</v>
      </c>
      <c r="F51" s="191"/>
      <c r="G51" s="190">
        <f>G50+H50</f>
        <v>22.327314659685861</v>
      </c>
      <c r="H51" s="191"/>
      <c r="I51" s="207"/>
      <c r="J51" s="275"/>
      <c r="K51" s="207"/>
      <c r="L51" s="193"/>
      <c r="M51" s="193"/>
      <c r="N51" s="194"/>
      <c r="P51" s="106"/>
      <c r="Q51" s="188"/>
      <c r="R51" s="188"/>
      <c r="S51" s="188"/>
      <c r="T51" s="188"/>
      <c r="U51" s="189"/>
      <c r="V51" s="189"/>
    </row>
    <row r="52" spans="1:22" ht="21" customHeight="1" x14ac:dyDescent="0.25">
      <c r="A52" s="211" t="s">
        <v>76</v>
      </c>
      <c r="B52" s="212"/>
      <c r="C52" s="213"/>
      <c r="D52" s="136" t="s">
        <v>27</v>
      </c>
      <c r="E52" s="184" t="s">
        <v>21</v>
      </c>
      <c r="F52" s="184"/>
      <c r="G52" s="184" t="s">
        <v>22</v>
      </c>
      <c r="H52" s="184"/>
      <c r="I52" s="136" t="s">
        <v>23</v>
      </c>
      <c r="J52" s="159">
        <v>600</v>
      </c>
      <c r="K52" s="159">
        <v>0.74</v>
      </c>
      <c r="L52" s="193"/>
      <c r="M52" s="193"/>
      <c r="N52" s="194"/>
      <c r="O52" s="147"/>
      <c r="P52" s="154"/>
      <c r="Q52" s="188"/>
      <c r="R52" s="188"/>
      <c r="S52" s="188"/>
      <c r="T52" s="188"/>
      <c r="U52" s="188"/>
      <c r="V52" s="188"/>
    </row>
    <row r="53" spans="1:22" ht="21" customHeight="1" x14ac:dyDescent="0.25">
      <c r="A53" s="180" t="s">
        <v>69</v>
      </c>
      <c r="B53" s="185"/>
      <c r="C53" s="181"/>
      <c r="D53" s="16"/>
      <c r="E53" s="186">
        <f>E51*4.1</f>
        <v>118.70075180628271</v>
      </c>
      <c r="F53" s="187"/>
      <c r="G53" s="186">
        <f>G51*9</f>
        <v>200.94583193717276</v>
      </c>
      <c r="H53" s="187"/>
      <c r="I53" s="60">
        <f>I50*4.1</f>
        <v>402.02621481675396</v>
      </c>
      <c r="J53" s="197"/>
      <c r="K53" s="197"/>
      <c r="L53" s="193"/>
      <c r="M53" s="193"/>
      <c r="N53" s="194"/>
      <c r="O53" s="147"/>
      <c r="P53" s="151"/>
      <c r="Q53" s="152"/>
      <c r="R53" s="152"/>
      <c r="S53" s="152"/>
      <c r="T53" s="106"/>
      <c r="U53" s="106"/>
      <c r="V53" s="106"/>
    </row>
    <row r="54" spans="1:22" ht="21" customHeight="1" x14ac:dyDescent="0.25">
      <c r="A54" s="176" t="s">
        <v>70</v>
      </c>
      <c r="B54" s="177"/>
      <c r="C54" s="180" t="s">
        <v>58</v>
      </c>
      <c r="D54" s="181"/>
      <c r="E54" s="266">
        <f>E53*100/D50</f>
        <v>16.445437552283416</v>
      </c>
      <c r="F54" s="267"/>
      <c r="G54" s="266">
        <f>G53*100/D50</f>
        <v>27.840111205930054</v>
      </c>
      <c r="H54" s="267"/>
      <c r="I54" s="76">
        <f>I53*100/D50</f>
        <v>55.698863819663394</v>
      </c>
      <c r="J54" s="198"/>
      <c r="K54" s="198"/>
      <c r="L54" s="193"/>
      <c r="M54" s="193"/>
      <c r="N54" s="194"/>
      <c r="O54" s="147"/>
      <c r="P54" s="106"/>
      <c r="Q54" s="153"/>
      <c r="R54" s="106"/>
      <c r="S54" s="106"/>
      <c r="T54" s="106"/>
      <c r="U54" s="106"/>
      <c r="V54" s="106"/>
    </row>
    <row r="55" spans="1:22" ht="21" customHeight="1" x14ac:dyDescent="0.25">
      <c r="A55" s="178"/>
      <c r="B55" s="179"/>
      <c r="C55" s="180" t="s">
        <v>71</v>
      </c>
      <c r="D55" s="181"/>
      <c r="E55" s="180" t="s">
        <v>72</v>
      </c>
      <c r="F55" s="181"/>
      <c r="G55" s="180" t="s">
        <v>73</v>
      </c>
      <c r="H55" s="181"/>
      <c r="I55" s="136" t="s">
        <v>74</v>
      </c>
      <c r="J55" s="199"/>
      <c r="K55" s="199"/>
      <c r="L55" s="193"/>
      <c r="M55" s="193"/>
      <c r="N55" s="194"/>
      <c r="O55" s="160"/>
      <c r="P55" s="2"/>
    </row>
    <row r="56" spans="1:22" ht="21" customHeight="1" x14ac:dyDescent="0.25">
      <c r="A56" s="63"/>
      <c r="B56" s="64"/>
      <c r="C56" s="63"/>
      <c r="D56" s="63"/>
      <c r="E56" s="63"/>
      <c r="F56" s="63"/>
      <c r="G56" s="63"/>
      <c r="H56" s="63"/>
      <c r="I56" s="63"/>
      <c r="J56" s="63"/>
      <c r="K56" s="63"/>
      <c r="L56" s="65"/>
      <c r="M56" s="65"/>
      <c r="N56" s="66"/>
      <c r="O56" s="147"/>
    </row>
    <row r="57" spans="1:22" ht="21" customHeight="1" x14ac:dyDescent="0.25">
      <c r="A57" s="172" t="s">
        <v>100</v>
      </c>
      <c r="B57" s="172"/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72"/>
      <c r="O57" s="147"/>
    </row>
    <row r="58" spans="1:22" ht="21" customHeight="1" x14ac:dyDescent="0.25">
      <c r="A58" s="77" t="s">
        <v>101</v>
      </c>
      <c r="B58" s="173" t="s">
        <v>102</v>
      </c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47"/>
    </row>
    <row r="59" spans="1:22" ht="21" customHeight="1" x14ac:dyDescent="0.25">
      <c r="A59" s="78"/>
      <c r="B59" s="174" t="s">
        <v>191</v>
      </c>
      <c r="C59" s="174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47"/>
    </row>
    <row r="60" spans="1:22" ht="21" customHeight="1" x14ac:dyDescent="0.25">
      <c r="A60" s="78"/>
      <c r="B60" s="174" t="s">
        <v>164</v>
      </c>
      <c r="C60" s="174"/>
      <c r="D60" s="174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47"/>
    </row>
    <row r="61" spans="1:22" ht="21" customHeight="1" x14ac:dyDescent="0.25">
      <c r="A61" s="78"/>
      <c r="B61" s="174" t="s">
        <v>146</v>
      </c>
      <c r="C61" s="174"/>
      <c r="D61" s="174"/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47"/>
    </row>
    <row r="62" spans="1:22" ht="21" customHeight="1" x14ac:dyDescent="0.25">
      <c r="A62" s="63"/>
      <c r="B62" s="175" t="s">
        <v>107</v>
      </c>
      <c r="C62" s="175"/>
      <c r="D62" s="175"/>
      <c r="E62" s="175"/>
      <c r="F62" s="175"/>
      <c r="G62" s="175"/>
      <c r="H62" s="175"/>
      <c r="I62" s="175"/>
      <c r="J62" s="175"/>
      <c r="K62" s="175"/>
      <c r="L62" s="175"/>
      <c r="M62" s="175"/>
      <c r="N62" s="175"/>
      <c r="O62" s="147"/>
    </row>
    <row r="63" spans="1:22" ht="21" customHeight="1" x14ac:dyDescent="0.25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79"/>
      <c r="M63" s="79"/>
      <c r="N63" s="80"/>
      <c r="O63" s="147"/>
    </row>
    <row r="64" spans="1:22" ht="21" customHeight="1" x14ac:dyDescent="0.25">
      <c r="A64" s="168" t="s">
        <v>60</v>
      </c>
      <c r="B64" s="168"/>
      <c r="C64" s="168"/>
      <c r="D64" s="168"/>
      <c r="E64" s="148"/>
      <c r="F64" s="148"/>
      <c r="G64" s="148"/>
      <c r="H64" s="148"/>
      <c r="I64" s="148"/>
      <c r="J64" s="169" t="s">
        <v>36</v>
      </c>
      <c r="K64" s="169"/>
      <c r="L64" s="169"/>
      <c r="M64" s="169"/>
      <c r="N64" s="169"/>
      <c r="O64" s="147"/>
    </row>
    <row r="65" spans="1:16" ht="21" customHeight="1" x14ac:dyDescent="0.25">
      <c r="A65" s="132"/>
      <c r="B65" s="132"/>
      <c r="C65" s="132"/>
      <c r="D65" s="148"/>
      <c r="E65" s="148"/>
      <c r="F65" s="148"/>
      <c r="G65" s="148"/>
      <c r="H65" s="149"/>
      <c r="I65" s="149"/>
      <c r="J65" s="149"/>
      <c r="K65" s="149"/>
      <c r="L65" s="149"/>
      <c r="M65" s="149"/>
      <c r="N65" s="149"/>
      <c r="O65" s="147"/>
    </row>
    <row r="66" spans="1:16" ht="21" customHeight="1" x14ac:dyDescent="0.25">
      <c r="A66" s="132"/>
      <c r="B66" s="132"/>
      <c r="C66" s="132"/>
      <c r="D66" s="148"/>
      <c r="E66" s="148"/>
      <c r="F66" s="148"/>
      <c r="G66" s="148"/>
      <c r="H66" s="149"/>
      <c r="I66" s="149"/>
      <c r="J66" s="149"/>
      <c r="K66" s="149"/>
      <c r="L66" s="149"/>
      <c r="M66" s="149"/>
      <c r="N66" s="149"/>
      <c r="O66" s="147"/>
    </row>
    <row r="67" spans="1:16" ht="21" customHeight="1" x14ac:dyDescent="0.25">
      <c r="A67" s="132"/>
      <c r="B67" s="132"/>
      <c r="C67" s="132"/>
      <c r="D67" s="148"/>
      <c r="E67" s="148"/>
      <c r="F67" s="148"/>
      <c r="G67" s="148"/>
      <c r="H67" s="149"/>
      <c r="I67" s="149"/>
      <c r="J67" s="170" t="s">
        <v>103</v>
      </c>
      <c r="K67" s="170"/>
      <c r="L67" s="170"/>
      <c r="M67" s="170"/>
      <c r="N67" s="170"/>
      <c r="O67" s="147"/>
    </row>
    <row r="68" spans="1:16" ht="21" customHeight="1" x14ac:dyDescent="0.25">
      <c r="A68" s="171" t="s">
        <v>84</v>
      </c>
      <c r="B68" s="171"/>
      <c r="C68" s="171"/>
      <c r="D68" s="171"/>
      <c r="E68" s="148"/>
      <c r="F68" s="148"/>
      <c r="G68" s="148"/>
      <c r="H68" s="149"/>
      <c r="I68" s="149"/>
      <c r="J68" s="170"/>
      <c r="K68" s="170"/>
      <c r="L68" s="170"/>
      <c r="M68" s="170"/>
      <c r="N68" s="170"/>
      <c r="O68" s="147"/>
    </row>
    <row r="69" spans="1:16" ht="21" customHeight="1" x14ac:dyDescent="0.25">
      <c r="A69" s="132"/>
      <c r="B69" s="132"/>
      <c r="C69" s="132"/>
      <c r="D69" s="148"/>
      <c r="E69" s="148"/>
      <c r="F69" s="148"/>
      <c r="G69" s="148"/>
      <c r="H69" s="149"/>
      <c r="I69" s="149"/>
      <c r="J69" s="149"/>
      <c r="K69" s="149"/>
      <c r="L69" s="149"/>
      <c r="M69" s="149"/>
      <c r="N69" s="149"/>
      <c r="O69" s="147"/>
    </row>
    <row r="70" spans="1:16" ht="21" customHeight="1" x14ac:dyDescent="0.25">
      <c r="A70" s="132"/>
      <c r="B70" s="132"/>
      <c r="C70" s="132"/>
      <c r="D70" s="148"/>
      <c r="E70" s="148"/>
      <c r="F70" s="148"/>
      <c r="G70" s="148"/>
      <c r="H70" s="149"/>
      <c r="I70" s="149"/>
      <c r="J70" s="170" t="s">
        <v>114</v>
      </c>
      <c r="K70" s="170"/>
      <c r="L70" s="170"/>
      <c r="M70" s="170"/>
      <c r="N70" s="170"/>
      <c r="O70" s="147"/>
    </row>
    <row r="71" spans="1:16" ht="21" customHeight="1" x14ac:dyDescent="0.25">
      <c r="A71" s="171"/>
      <c r="B71" s="171"/>
      <c r="C71" s="171"/>
      <c r="D71" s="171"/>
      <c r="E71" s="148"/>
      <c r="F71" s="148"/>
      <c r="G71" s="148"/>
      <c r="H71" s="149"/>
      <c r="I71" s="149"/>
      <c r="J71" s="169"/>
      <c r="K71" s="169"/>
      <c r="L71" s="169"/>
      <c r="M71" s="169"/>
      <c r="N71" s="169"/>
      <c r="O71" s="147"/>
    </row>
    <row r="80" spans="1:16" ht="19.899999999999999" customHeight="1" x14ac:dyDescent="0.3">
      <c r="A80" s="9" t="s">
        <v>59</v>
      </c>
      <c r="B80" s="6"/>
      <c r="C80" s="6"/>
      <c r="D80" s="6"/>
      <c r="E80" s="6"/>
      <c r="F80" s="265" t="s">
        <v>31</v>
      </c>
      <c r="G80" s="265"/>
      <c r="H80" s="265"/>
      <c r="I80" s="265"/>
      <c r="J80" s="265"/>
      <c r="K80" s="265"/>
      <c r="L80" s="265"/>
      <c r="M80" s="265"/>
      <c r="N80" s="265"/>
      <c r="O80" s="138"/>
      <c r="P80" s="138"/>
    </row>
    <row r="81" spans="1:16" ht="18" customHeight="1" x14ac:dyDescent="0.3">
      <c r="A81" s="6" t="s">
        <v>190</v>
      </c>
      <c r="B81" s="6"/>
      <c r="C81" s="6"/>
      <c r="D81" s="6"/>
      <c r="E81" s="6"/>
      <c r="F81" s="135"/>
      <c r="G81" s="135"/>
      <c r="H81" s="135"/>
      <c r="I81" s="135"/>
      <c r="J81" s="135"/>
      <c r="K81" s="135"/>
      <c r="L81" s="135"/>
      <c r="M81" s="135"/>
      <c r="N81" s="135"/>
      <c r="O81" s="138"/>
      <c r="P81" s="138"/>
    </row>
    <row r="82" spans="1:16" ht="18" customHeight="1" x14ac:dyDescent="0.25">
      <c r="A82" s="184" t="s">
        <v>95</v>
      </c>
      <c r="B82" s="184"/>
      <c r="C82" s="184"/>
      <c r="D82" s="184"/>
      <c r="E82" s="184" t="s">
        <v>82</v>
      </c>
      <c r="F82" s="184"/>
      <c r="G82" s="184"/>
      <c r="H82" s="184"/>
      <c r="I82" s="184"/>
      <c r="J82" s="184"/>
      <c r="K82" s="184"/>
      <c r="L82" s="184"/>
      <c r="M82" s="184"/>
      <c r="N82" s="184"/>
      <c r="O82" s="139"/>
    </row>
    <row r="83" spans="1:16" ht="18" customHeight="1" x14ac:dyDescent="0.25">
      <c r="A83" s="184"/>
      <c r="B83" s="184"/>
      <c r="C83" s="184"/>
      <c r="D83" s="184"/>
      <c r="E83" s="184" t="s">
        <v>94</v>
      </c>
      <c r="F83" s="184"/>
      <c r="G83" s="184"/>
      <c r="H83" s="184"/>
      <c r="I83" s="184"/>
      <c r="J83" s="184" t="s">
        <v>96</v>
      </c>
      <c r="K83" s="184"/>
      <c r="L83" s="184"/>
      <c r="M83" s="184"/>
      <c r="N83" s="184"/>
      <c r="O83" s="139"/>
    </row>
    <row r="84" spans="1:16" ht="18" customHeight="1" x14ac:dyDescent="0.25">
      <c r="A84" s="252" t="s">
        <v>83</v>
      </c>
      <c r="B84" s="252"/>
      <c r="C84" s="252"/>
      <c r="D84" s="252"/>
      <c r="E84" s="253" t="s">
        <v>131</v>
      </c>
      <c r="F84" s="253"/>
      <c r="G84" s="253"/>
      <c r="H84" s="253"/>
      <c r="I84" s="253"/>
      <c r="J84" s="254" t="s">
        <v>83</v>
      </c>
      <c r="K84" s="255"/>
      <c r="L84" s="255"/>
      <c r="M84" s="255"/>
      <c r="N84" s="256"/>
      <c r="O84" s="139"/>
    </row>
    <row r="85" spans="1:16" ht="18" customHeight="1" x14ac:dyDescent="0.25">
      <c r="A85" s="258" t="s">
        <v>143</v>
      </c>
      <c r="B85" s="259"/>
      <c r="C85" s="259"/>
      <c r="D85" s="260"/>
      <c r="E85" s="253"/>
      <c r="F85" s="253"/>
      <c r="G85" s="253"/>
      <c r="H85" s="253"/>
      <c r="I85" s="253"/>
      <c r="J85" s="258" t="s">
        <v>90</v>
      </c>
      <c r="K85" s="259"/>
      <c r="L85" s="259"/>
      <c r="M85" s="259"/>
      <c r="N85" s="260"/>
      <c r="O85" s="139"/>
    </row>
    <row r="86" spans="1:16" ht="18" customHeight="1" x14ac:dyDescent="0.25">
      <c r="A86" s="257" t="s">
        <v>144</v>
      </c>
      <c r="B86" s="257"/>
      <c r="C86" s="257"/>
      <c r="D86" s="257"/>
      <c r="E86" s="253"/>
      <c r="F86" s="253"/>
      <c r="G86" s="253"/>
      <c r="H86" s="253"/>
      <c r="I86" s="253"/>
      <c r="J86" s="262" t="s">
        <v>124</v>
      </c>
      <c r="K86" s="263"/>
      <c r="L86" s="263"/>
      <c r="M86" s="263"/>
      <c r="N86" s="264"/>
      <c r="O86" s="139"/>
    </row>
    <row r="87" spans="1:16" ht="18" customHeight="1" x14ac:dyDescent="0.25">
      <c r="A87" s="261" t="s">
        <v>163</v>
      </c>
      <c r="B87" s="261"/>
      <c r="C87" s="261"/>
      <c r="D87" s="261"/>
      <c r="E87" s="253"/>
      <c r="F87" s="253"/>
      <c r="G87" s="253"/>
      <c r="H87" s="253"/>
      <c r="I87" s="253"/>
      <c r="J87" s="262"/>
      <c r="K87" s="263"/>
      <c r="L87" s="263"/>
      <c r="M87" s="263"/>
      <c r="N87" s="264"/>
      <c r="O87" s="139"/>
    </row>
    <row r="88" spans="1:16" ht="18" customHeight="1" x14ac:dyDescent="0.3">
      <c r="A88" s="303" t="s">
        <v>110</v>
      </c>
      <c r="B88" s="303"/>
      <c r="C88" s="305">
        <v>54</v>
      </c>
      <c r="D88" s="305"/>
      <c r="E88" s="6"/>
      <c r="F88" s="135"/>
      <c r="G88" s="135"/>
      <c r="H88" s="135"/>
      <c r="I88" s="135"/>
      <c r="J88" s="135"/>
      <c r="K88" s="135"/>
      <c r="L88" s="135"/>
      <c r="M88" s="135"/>
      <c r="N88" s="135"/>
      <c r="O88" s="138"/>
      <c r="P88" s="138"/>
    </row>
    <row r="89" spans="1:16" ht="18" customHeight="1" x14ac:dyDescent="0.25">
      <c r="A89" s="233" t="s">
        <v>0</v>
      </c>
      <c r="B89" s="238" t="s">
        <v>19</v>
      </c>
      <c r="C89" s="238" t="s">
        <v>8</v>
      </c>
      <c r="D89" s="238" t="s">
        <v>9</v>
      </c>
      <c r="E89" s="241" t="s">
        <v>11</v>
      </c>
      <c r="F89" s="242"/>
      <c r="G89" s="241" t="s">
        <v>13</v>
      </c>
      <c r="H89" s="242"/>
      <c r="I89" s="233" t="s">
        <v>16</v>
      </c>
      <c r="J89" s="233" t="s">
        <v>32</v>
      </c>
      <c r="K89" s="233" t="s">
        <v>33</v>
      </c>
      <c r="L89" s="233" t="s">
        <v>17</v>
      </c>
      <c r="M89" s="233" t="s">
        <v>34</v>
      </c>
      <c r="N89" s="233" t="s">
        <v>18</v>
      </c>
      <c r="O89" s="140"/>
    </row>
    <row r="90" spans="1:16" ht="18" customHeight="1" x14ac:dyDescent="0.25">
      <c r="A90" s="236"/>
      <c r="B90" s="239"/>
      <c r="C90" s="239"/>
      <c r="D90" s="239"/>
      <c r="E90" s="243"/>
      <c r="F90" s="244"/>
      <c r="G90" s="243"/>
      <c r="H90" s="244"/>
      <c r="I90" s="234"/>
      <c r="J90" s="234"/>
      <c r="K90" s="234"/>
      <c r="L90" s="234"/>
      <c r="M90" s="234"/>
      <c r="N90" s="236"/>
      <c r="O90" s="132"/>
    </row>
    <row r="91" spans="1:16" ht="18" customHeight="1" x14ac:dyDescent="0.25">
      <c r="A91" s="236"/>
      <c r="B91" s="239"/>
      <c r="C91" s="239"/>
      <c r="D91" s="239"/>
      <c r="E91" s="233" t="s">
        <v>10</v>
      </c>
      <c r="F91" s="233" t="s">
        <v>12</v>
      </c>
      <c r="G91" s="233" t="s">
        <v>14</v>
      </c>
      <c r="H91" s="233" t="s">
        <v>15</v>
      </c>
      <c r="I91" s="234"/>
      <c r="J91" s="234"/>
      <c r="K91" s="234"/>
      <c r="L91" s="234"/>
      <c r="M91" s="234"/>
      <c r="N91" s="236"/>
      <c r="O91" s="132"/>
    </row>
    <row r="92" spans="1:16" ht="18" customHeight="1" x14ac:dyDescent="0.25">
      <c r="A92" s="237"/>
      <c r="B92" s="240"/>
      <c r="C92" s="240"/>
      <c r="D92" s="240"/>
      <c r="E92" s="235"/>
      <c r="F92" s="235"/>
      <c r="G92" s="235"/>
      <c r="H92" s="235"/>
      <c r="I92" s="235"/>
      <c r="J92" s="235"/>
      <c r="K92" s="235"/>
      <c r="L92" s="235"/>
      <c r="M92" s="235"/>
      <c r="N92" s="237"/>
      <c r="O92" s="132"/>
    </row>
    <row r="93" spans="1:16" ht="18" customHeight="1" x14ac:dyDescent="0.25">
      <c r="A93" s="246" t="s">
        <v>42</v>
      </c>
      <c r="B93" s="247"/>
      <c r="C93" s="247"/>
      <c r="D93" s="247"/>
      <c r="E93" s="247"/>
      <c r="F93" s="247"/>
      <c r="G93" s="247"/>
      <c r="H93" s="247"/>
      <c r="I93" s="247"/>
      <c r="J93" s="247"/>
      <c r="K93" s="247"/>
      <c r="L93" s="247"/>
      <c r="M93" s="247"/>
      <c r="N93" s="248"/>
      <c r="O93" s="132"/>
    </row>
    <row r="94" spans="1:16" ht="18" customHeight="1" x14ac:dyDescent="0.25">
      <c r="A94" s="7">
        <v>1</v>
      </c>
      <c r="B94" s="8" t="s">
        <v>2</v>
      </c>
      <c r="C94" s="10">
        <f>L94/100*100</f>
        <v>70</v>
      </c>
      <c r="D94" s="11">
        <f>C94/100*60</f>
        <v>42</v>
      </c>
      <c r="E94" s="12">
        <f>C94/100*15</f>
        <v>10.5</v>
      </c>
      <c r="F94" s="12"/>
      <c r="G94" s="12"/>
      <c r="H94" s="12"/>
      <c r="I94" s="12"/>
      <c r="J94" s="19">
        <f>C94/100*387</f>
        <v>270.89999999999998</v>
      </c>
      <c r="K94" s="19">
        <f>C94/100*0.09</f>
        <v>6.3E-2</v>
      </c>
      <c r="L94" s="99">
        <v>70</v>
      </c>
      <c r="M94" s="17">
        <v>20</v>
      </c>
      <c r="N94" s="10">
        <f>L94*M94</f>
        <v>1400</v>
      </c>
      <c r="O94" s="3"/>
    </row>
    <row r="95" spans="1:16" ht="18" customHeight="1" x14ac:dyDescent="0.25">
      <c r="A95" s="7">
        <v>2</v>
      </c>
      <c r="B95" s="8" t="s">
        <v>121</v>
      </c>
      <c r="C95" s="10">
        <f>L95/100*100</f>
        <v>480</v>
      </c>
      <c r="D95" s="11">
        <f>C95/100*899</f>
        <v>4315.2</v>
      </c>
      <c r="E95" s="12"/>
      <c r="F95" s="12"/>
      <c r="G95" s="12">
        <f>C95/100*100</f>
        <v>480</v>
      </c>
      <c r="H95" s="12"/>
      <c r="I95" s="12"/>
      <c r="J95" s="19"/>
      <c r="K95" s="19"/>
      <c r="L95" s="99">
        <v>480</v>
      </c>
      <c r="M95" s="98">
        <v>68</v>
      </c>
      <c r="N95" s="10">
        <f t="shared" ref="N95:N103" si="5">L95*M95</f>
        <v>32640</v>
      </c>
      <c r="O95" s="3"/>
    </row>
    <row r="96" spans="1:16" ht="18" customHeight="1" x14ac:dyDescent="0.25">
      <c r="A96" s="7">
        <v>3</v>
      </c>
      <c r="B96" s="4" t="s">
        <v>1</v>
      </c>
      <c r="C96" s="10">
        <f>L96/100*100</f>
        <v>2322</v>
      </c>
      <c r="D96" s="11">
        <f>C96/100*344</f>
        <v>7987.6799999999994</v>
      </c>
      <c r="E96" s="12"/>
      <c r="F96" s="12">
        <f>C96/100*7.9</f>
        <v>183.43799999999999</v>
      </c>
      <c r="G96" s="12"/>
      <c r="H96" s="12">
        <f>C96/100*1</f>
        <v>23.22</v>
      </c>
      <c r="I96" s="81">
        <f>C96/100*73.6</f>
        <v>1708.9919999999997</v>
      </c>
      <c r="J96" s="19">
        <f>C96/100*30</f>
        <v>696.59999999999991</v>
      </c>
      <c r="K96" s="19">
        <f>C96/100*0.1</f>
        <v>2.3220000000000001</v>
      </c>
      <c r="L96" s="99">
        <v>2322</v>
      </c>
      <c r="M96" s="17">
        <v>18</v>
      </c>
      <c r="N96" s="10">
        <f t="shared" si="5"/>
        <v>41796</v>
      </c>
      <c r="O96" s="3"/>
    </row>
    <row r="97" spans="1:20" ht="18" customHeight="1" x14ac:dyDescent="0.25">
      <c r="A97" s="7">
        <v>4</v>
      </c>
      <c r="B97" s="8" t="s">
        <v>145</v>
      </c>
      <c r="C97" s="10">
        <f>L97/100*60</f>
        <v>1944</v>
      </c>
      <c r="D97" s="11">
        <f>C97/100*97</f>
        <v>1885.68</v>
      </c>
      <c r="E97" s="81">
        <f>C97/100*18.2</f>
        <v>353.80799999999999</v>
      </c>
      <c r="F97" s="12"/>
      <c r="G97" s="12">
        <f>C97/100*2.7</f>
        <v>52.488000000000007</v>
      </c>
      <c r="H97" s="12"/>
      <c r="I97" s="12"/>
      <c r="J97" s="56">
        <f>C97/100*90</f>
        <v>1749.6000000000001</v>
      </c>
      <c r="K97" s="19">
        <f>C97/100*0.04</f>
        <v>0.77760000000000007</v>
      </c>
      <c r="L97" s="99">
        <v>3240</v>
      </c>
      <c r="M97" s="17">
        <v>95</v>
      </c>
      <c r="N97" s="10">
        <f t="shared" si="5"/>
        <v>307800</v>
      </c>
      <c r="O97" s="3"/>
    </row>
    <row r="98" spans="1:20" ht="18" customHeight="1" x14ac:dyDescent="0.25">
      <c r="A98" s="7">
        <v>5</v>
      </c>
      <c r="B98" s="116" t="s">
        <v>66</v>
      </c>
      <c r="C98" s="10">
        <f>L98/100*98</f>
        <v>529.20000000000005</v>
      </c>
      <c r="D98" s="11">
        <f>C98/100*139</f>
        <v>735.58800000000008</v>
      </c>
      <c r="E98" s="12">
        <f>C98/100*19</f>
        <v>100.54800000000002</v>
      </c>
      <c r="F98" s="12"/>
      <c r="G98" s="12">
        <f>C98/100*7</f>
        <v>37.044000000000004</v>
      </c>
      <c r="H98" s="12"/>
      <c r="I98" s="12"/>
      <c r="J98" s="19">
        <f>C98/100*7</f>
        <v>37.044000000000004</v>
      </c>
      <c r="K98" s="19">
        <f>C98/100*0.9</f>
        <v>4.7628000000000004</v>
      </c>
      <c r="L98" s="99">
        <v>540</v>
      </c>
      <c r="M98" s="99">
        <v>130</v>
      </c>
      <c r="N98" s="10">
        <f t="shared" si="5"/>
        <v>70200</v>
      </c>
      <c r="O98" s="3"/>
    </row>
    <row r="99" spans="1:20" ht="18" customHeight="1" x14ac:dyDescent="0.25">
      <c r="A99" s="7">
        <v>6</v>
      </c>
      <c r="B99" s="4" t="s">
        <v>3</v>
      </c>
      <c r="C99" s="10">
        <f>L99/100*48</f>
        <v>417.59999999999997</v>
      </c>
      <c r="D99" s="11">
        <f>C99/100*199</f>
        <v>831.02399999999989</v>
      </c>
      <c r="E99" s="12">
        <f>C99/100*20.3</f>
        <v>84.772799999999989</v>
      </c>
      <c r="F99" s="12"/>
      <c r="G99" s="12">
        <f>C99/100*13.1</f>
        <v>54.70559999999999</v>
      </c>
      <c r="H99" s="12"/>
      <c r="I99" s="12"/>
      <c r="J99" s="19">
        <f>C99/100*12</f>
        <v>50.111999999999995</v>
      </c>
      <c r="K99" s="19">
        <f>C99/100*0.15</f>
        <v>0.62639999999999985</v>
      </c>
      <c r="L99" s="99">
        <v>870</v>
      </c>
      <c r="M99" s="13">
        <v>84</v>
      </c>
      <c r="N99" s="10">
        <f t="shared" si="5"/>
        <v>73080</v>
      </c>
      <c r="O99" s="3"/>
      <c r="Q99" s="2"/>
      <c r="R99" s="2"/>
      <c r="S99" s="3"/>
    </row>
    <row r="100" spans="1:20" ht="18" customHeight="1" x14ac:dyDescent="0.25">
      <c r="A100" s="7">
        <v>7</v>
      </c>
      <c r="B100" s="4" t="s">
        <v>117</v>
      </c>
      <c r="C100" s="10">
        <f>L100/100*100</f>
        <v>40</v>
      </c>
      <c r="D100" s="11">
        <f>C100/100*247</f>
        <v>98.800000000000011</v>
      </c>
      <c r="E100" s="14"/>
      <c r="F100" s="14">
        <f>C100/100*17.5</f>
        <v>7</v>
      </c>
      <c r="G100" s="14"/>
      <c r="H100" s="14">
        <f>C100/100*1.6</f>
        <v>0.64000000000000012</v>
      </c>
      <c r="I100" s="14">
        <f>C100/100*39.2</f>
        <v>15.680000000000001</v>
      </c>
      <c r="J100" s="18"/>
      <c r="K100" s="18"/>
      <c r="L100" s="144">
        <v>40</v>
      </c>
      <c r="M100" s="17">
        <v>50</v>
      </c>
      <c r="N100" s="10">
        <f t="shared" si="5"/>
        <v>2000</v>
      </c>
      <c r="O100" s="3"/>
      <c r="Q100" s="2"/>
      <c r="R100" s="2"/>
      <c r="S100" s="3"/>
      <c r="T100" s="2"/>
    </row>
    <row r="101" spans="1:20" ht="18" customHeight="1" x14ac:dyDescent="0.25">
      <c r="A101" s="7">
        <v>8</v>
      </c>
      <c r="B101" s="4" t="s">
        <v>139</v>
      </c>
      <c r="C101" s="10">
        <f>L101/100*87</f>
        <v>1270.2</v>
      </c>
      <c r="D101" s="11">
        <f>C101/100*21</f>
        <v>266.74200000000002</v>
      </c>
      <c r="E101" s="14"/>
      <c r="F101" s="14">
        <f>C101/100*1.5</f>
        <v>19.053000000000001</v>
      </c>
      <c r="G101" s="14"/>
      <c r="H101" s="14">
        <f>C101/100*0.1</f>
        <v>1.2702</v>
      </c>
      <c r="I101" s="14">
        <f>C101/100*3.6</f>
        <v>45.727200000000003</v>
      </c>
      <c r="J101" s="14">
        <f>C101/100*40</f>
        <v>508.08</v>
      </c>
      <c r="K101" s="14">
        <f>C101/100*0.06</f>
        <v>0.76212000000000002</v>
      </c>
      <c r="L101" s="144">
        <v>1460</v>
      </c>
      <c r="M101" s="13">
        <v>18</v>
      </c>
      <c r="N101" s="10">
        <f t="shared" si="5"/>
        <v>26280</v>
      </c>
      <c r="O101" s="3"/>
      <c r="Q101" s="2"/>
      <c r="R101" s="2"/>
      <c r="S101" s="3"/>
    </row>
    <row r="102" spans="1:20" ht="18" customHeight="1" x14ac:dyDescent="0.25">
      <c r="A102" s="7">
        <v>9</v>
      </c>
      <c r="B102" s="4" t="s">
        <v>5</v>
      </c>
      <c r="C102" s="10">
        <f>L102/100*98.5</f>
        <v>265.95000000000005</v>
      </c>
      <c r="D102" s="11">
        <f>C102/100*39</f>
        <v>103.72050000000002</v>
      </c>
      <c r="E102" s="14"/>
      <c r="F102" s="14">
        <f>C102/100*1.5</f>
        <v>3.9892500000000006</v>
      </c>
      <c r="G102" s="14"/>
      <c r="H102" s="14">
        <f>C102/100*0.2</f>
        <v>0.53190000000000015</v>
      </c>
      <c r="I102" s="14">
        <f>C102/100*7.8</f>
        <v>20.744100000000003</v>
      </c>
      <c r="J102" s="14">
        <f>C102/100*43</f>
        <v>114.35850000000002</v>
      </c>
      <c r="K102" s="14">
        <f>C102/100*0.06</f>
        <v>0.15957000000000002</v>
      </c>
      <c r="L102" s="144">
        <v>270</v>
      </c>
      <c r="M102" s="13">
        <v>17</v>
      </c>
      <c r="N102" s="10">
        <f t="shared" si="5"/>
        <v>4590</v>
      </c>
      <c r="O102" s="3"/>
      <c r="Q102" s="2"/>
      <c r="R102" s="2"/>
      <c r="S102" s="3"/>
    </row>
    <row r="103" spans="1:20" ht="18" customHeight="1" x14ac:dyDescent="0.25">
      <c r="A103" s="7">
        <v>10</v>
      </c>
      <c r="B103" s="4" t="s">
        <v>135</v>
      </c>
      <c r="C103" s="10">
        <f>L103/100*81</f>
        <v>963.9</v>
      </c>
      <c r="D103" s="11">
        <f>C103/100*17</f>
        <v>163.863</v>
      </c>
      <c r="E103" s="14"/>
      <c r="F103" s="14">
        <f>C103/100*0.9</f>
        <v>8.6751000000000005</v>
      </c>
      <c r="G103" s="14"/>
      <c r="H103" s="14">
        <f>C103/100*0.2</f>
        <v>1.9278</v>
      </c>
      <c r="I103" s="14">
        <f>C103/100*2.8</f>
        <v>26.989199999999997</v>
      </c>
      <c r="J103" s="12">
        <f>C103/100*28</f>
        <v>269.892</v>
      </c>
      <c r="K103" s="19">
        <f>C103/100*0.04</f>
        <v>0.38555999999999996</v>
      </c>
      <c r="L103" s="144">
        <v>1190</v>
      </c>
      <c r="M103" s="17">
        <v>20</v>
      </c>
      <c r="N103" s="10">
        <f t="shared" si="5"/>
        <v>23800</v>
      </c>
      <c r="O103" s="3"/>
      <c r="P103" s="2"/>
    </row>
    <row r="104" spans="1:20" ht="18" customHeight="1" x14ac:dyDescent="0.25">
      <c r="A104" s="7">
        <v>11</v>
      </c>
      <c r="B104" s="8" t="s">
        <v>111</v>
      </c>
      <c r="C104" s="10"/>
      <c r="D104" s="11"/>
      <c r="E104" s="12"/>
      <c r="F104" s="12"/>
      <c r="G104" s="12"/>
      <c r="H104" s="12"/>
      <c r="I104" s="12"/>
      <c r="J104" s="12"/>
      <c r="K104" s="12"/>
      <c r="L104" s="13"/>
      <c r="M104" s="13"/>
      <c r="N104" s="10">
        <v>3400</v>
      </c>
      <c r="O104" s="3"/>
    </row>
    <row r="105" spans="1:20" ht="18" customHeight="1" x14ac:dyDescent="0.25">
      <c r="A105" s="20" t="s">
        <v>104</v>
      </c>
      <c r="B105" s="21"/>
      <c r="C105" s="22"/>
      <c r="D105" s="84">
        <f>SUM(D95:D104)</f>
        <v>16388.297499999997</v>
      </c>
      <c r="E105" s="5"/>
      <c r="F105" s="5"/>
      <c r="G105" s="5"/>
      <c r="H105" s="5"/>
      <c r="I105" s="5"/>
      <c r="J105" s="5"/>
      <c r="K105" s="5"/>
      <c r="L105" s="28"/>
      <c r="M105" s="28"/>
      <c r="N105" s="314">
        <f>SUM(N94:N104)</f>
        <v>586986</v>
      </c>
      <c r="O105" s="3"/>
    </row>
    <row r="106" spans="1:20" ht="18" customHeight="1" x14ac:dyDescent="0.25">
      <c r="A106" s="20" t="s">
        <v>43</v>
      </c>
      <c r="B106" s="21"/>
      <c r="C106" s="29"/>
      <c r="D106" s="30">
        <f>D105/C88</f>
        <v>303.48699074074068</v>
      </c>
      <c r="E106" s="30"/>
      <c r="F106" s="30"/>
      <c r="G106" s="30"/>
      <c r="H106" s="30"/>
      <c r="I106" s="30"/>
      <c r="J106" s="30"/>
      <c r="K106" s="30"/>
      <c r="L106" s="28"/>
      <c r="M106" s="28"/>
      <c r="N106" s="315"/>
      <c r="O106" s="142"/>
    </row>
    <row r="107" spans="1:20" ht="18" customHeight="1" x14ac:dyDescent="0.25">
      <c r="A107" s="307" t="s">
        <v>52</v>
      </c>
      <c r="B107" s="218"/>
      <c r="C107" s="145" t="s">
        <v>132</v>
      </c>
      <c r="D107" s="26" t="s">
        <v>38</v>
      </c>
      <c r="E107" s="30"/>
      <c r="F107" s="30"/>
      <c r="G107" s="30"/>
      <c r="H107" s="30"/>
      <c r="I107" s="30"/>
      <c r="J107" s="31"/>
      <c r="K107" s="31"/>
      <c r="L107" s="28"/>
      <c r="M107" s="28"/>
      <c r="N107" s="137"/>
      <c r="O107" s="3"/>
    </row>
    <row r="108" spans="1:20" ht="18" customHeight="1" x14ac:dyDescent="0.25">
      <c r="A108" s="219"/>
      <c r="B108" s="220"/>
      <c r="C108" s="54" t="s">
        <v>58</v>
      </c>
      <c r="D108" s="26">
        <f>D106*100/930</f>
        <v>32.633009757068891</v>
      </c>
      <c r="E108" s="30"/>
      <c r="F108" s="30"/>
      <c r="G108" s="30"/>
      <c r="H108" s="30"/>
      <c r="I108" s="30"/>
      <c r="J108" s="31"/>
      <c r="K108" s="31"/>
      <c r="L108" s="28"/>
      <c r="M108" s="28"/>
      <c r="N108" s="137"/>
      <c r="O108" s="3"/>
    </row>
    <row r="109" spans="1:20" ht="18" customHeight="1" x14ac:dyDescent="0.3">
      <c r="A109" s="245" t="s">
        <v>45</v>
      </c>
      <c r="B109" s="245"/>
      <c r="C109" s="39"/>
      <c r="D109" s="40"/>
      <c r="E109" s="41"/>
      <c r="F109" s="41"/>
      <c r="G109" s="41"/>
      <c r="H109" s="41"/>
      <c r="I109" s="41"/>
      <c r="J109" s="41"/>
      <c r="K109" s="41"/>
      <c r="L109" s="42"/>
      <c r="M109" s="42"/>
      <c r="N109" s="39"/>
      <c r="O109" s="3"/>
    </row>
    <row r="110" spans="1:20" ht="18" customHeight="1" x14ac:dyDescent="0.25">
      <c r="A110" s="7">
        <v>1</v>
      </c>
      <c r="B110" s="8" t="s">
        <v>2</v>
      </c>
      <c r="C110" s="10">
        <f>L110/100*100</f>
        <v>70</v>
      </c>
      <c r="D110" s="11">
        <f>C110/100*60</f>
        <v>42</v>
      </c>
      <c r="E110" s="12">
        <f>C110/100*15</f>
        <v>10.5</v>
      </c>
      <c r="F110" s="12"/>
      <c r="G110" s="12"/>
      <c r="H110" s="12"/>
      <c r="I110" s="12"/>
      <c r="J110" s="19">
        <f>C110/100*387</f>
        <v>270.89999999999998</v>
      </c>
      <c r="K110" s="19">
        <f>C110/100*0.09</f>
        <v>6.3E-2</v>
      </c>
      <c r="L110" s="99">
        <v>70</v>
      </c>
      <c r="M110" s="17">
        <v>20</v>
      </c>
      <c r="N110" s="101">
        <f>L110*M110</f>
        <v>1400</v>
      </c>
      <c r="O110" s="3"/>
    </row>
    <row r="111" spans="1:20" ht="18" customHeight="1" x14ac:dyDescent="0.25">
      <c r="A111" s="7">
        <v>2</v>
      </c>
      <c r="B111" s="8" t="s">
        <v>121</v>
      </c>
      <c r="C111" s="10">
        <f>L111/100*100</f>
        <v>170</v>
      </c>
      <c r="D111" s="11">
        <f>C111/100*899</f>
        <v>1528.3</v>
      </c>
      <c r="E111" s="12"/>
      <c r="F111" s="12"/>
      <c r="G111" s="12">
        <f>C111/100*100</f>
        <v>170</v>
      </c>
      <c r="H111" s="12"/>
      <c r="I111" s="12"/>
      <c r="J111" s="19"/>
      <c r="K111" s="19"/>
      <c r="L111" s="99">
        <v>170</v>
      </c>
      <c r="M111" s="98">
        <v>68</v>
      </c>
      <c r="N111" s="101">
        <f t="shared" ref="N111:N118" si="6">L111*M111</f>
        <v>11560</v>
      </c>
      <c r="O111" s="3"/>
    </row>
    <row r="112" spans="1:20" ht="18" customHeight="1" x14ac:dyDescent="0.25">
      <c r="A112" s="7">
        <v>3</v>
      </c>
      <c r="B112" s="116" t="s">
        <v>126</v>
      </c>
      <c r="C112" s="10">
        <f t="shared" ref="C112" si="7">L112/100*100</f>
        <v>140</v>
      </c>
      <c r="D112" s="57">
        <f>C112/100*900</f>
        <v>1260</v>
      </c>
      <c r="E112" s="12"/>
      <c r="F112" s="12"/>
      <c r="G112" s="81"/>
      <c r="H112" s="12">
        <f>C112/100*100</f>
        <v>140</v>
      </c>
      <c r="I112" s="12"/>
      <c r="J112" s="12"/>
      <c r="K112" s="12"/>
      <c r="L112" s="99">
        <v>140</v>
      </c>
      <c r="M112" s="57">
        <v>63.5</v>
      </c>
      <c r="N112" s="83">
        <f t="shared" si="6"/>
        <v>8890</v>
      </c>
      <c r="O112" s="141"/>
    </row>
    <row r="113" spans="1:20" ht="18" customHeight="1" x14ac:dyDescent="0.25">
      <c r="A113" s="7">
        <v>4</v>
      </c>
      <c r="B113" s="4" t="s">
        <v>1</v>
      </c>
      <c r="C113" s="10">
        <f>L113/100*100</f>
        <v>2268</v>
      </c>
      <c r="D113" s="11">
        <f>C113/100*344</f>
        <v>7801.92</v>
      </c>
      <c r="E113" s="12"/>
      <c r="F113" s="12">
        <f>C113/100*7.9</f>
        <v>179.172</v>
      </c>
      <c r="G113" s="12"/>
      <c r="H113" s="12">
        <f>C113/100*1</f>
        <v>22.68</v>
      </c>
      <c r="I113" s="81">
        <f>C113/100*73.6</f>
        <v>1669.2479999999998</v>
      </c>
      <c r="J113" s="19">
        <f>C113/100*30</f>
        <v>680.4</v>
      </c>
      <c r="K113" s="19">
        <f>C113/100*0.1</f>
        <v>2.2680000000000002</v>
      </c>
      <c r="L113" s="99">
        <v>2268</v>
      </c>
      <c r="M113" s="17">
        <v>18</v>
      </c>
      <c r="N113" s="101">
        <f t="shared" si="6"/>
        <v>40824</v>
      </c>
      <c r="O113" s="3"/>
    </row>
    <row r="114" spans="1:20" ht="18" customHeight="1" x14ac:dyDescent="0.25">
      <c r="A114" s="7">
        <v>5</v>
      </c>
      <c r="B114" s="8" t="s">
        <v>66</v>
      </c>
      <c r="C114" s="10">
        <f>L114/100*98</f>
        <v>1215.2</v>
      </c>
      <c r="D114" s="11">
        <f>C114/100*139</f>
        <v>1689.1280000000002</v>
      </c>
      <c r="E114" s="12">
        <f>C114/100*19</f>
        <v>230.88800000000003</v>
      </c>
      <c r="F114" s="12"/>
      <c r="G114" s="12">
        <f>C114/100*7</f>
        <v>85.064000000000007</v>
      </c>
      <c r="H114" s="12"/>
      <c r="I114" s="12"/>
      <c r="J114" s="19">
        <f>C114/100*7</f>
        <v>85.064000000000007</v>
      </c>
      <c r="K114" s="19">
        <f>C114/100*0.9</f>
        <v>10.936800000000002</v>
      </c>
      <c r="L114" s="99">
        <v>1240</v>
      </c>
      <c r="M114" s="37">
        <v>130</v>
      </c>
      <c r="N114" s="102">
        <f t="shared" si="6"/>
        <v>161200</v>
      </c>
      <c r="O114" s="3"/>
    </row>
    <row r="115" spans="1:20" ht="18" customHeight="1" x14ac:dyDescent="0.25">
      <c r="A115" s="7">
        <v>6</v>
      </c>
      <c r="B115" s="4" t="s">
        <v>63</v>
      </c>
      <c r="C115" s="10">
        <f>L115/100*86</f>
        <v>464.40000000000003</v>
      </c>
      <c r="D115" s="11">
        <f>C115/100*166</f>
        <v>770.904</v>
      </c>
      <c r="E115" s="12">
        <f>C115/100*14.8</f>
        <v>68.731200000000001</v>
      </c>
      <c r="F115" s="12"/>
      <c r="G115" s="12">
        <f>C115/100*11.6</f>
        <v>53.870399999999997</v>
      </c>
      <c r="H115" s="12"/>
      <c r="I115" s="12">
        <f>C115/100*0.5</f>
        <v>2.3220000000000001</v>
      </c>
      <c r="J115" s="19">
        <f>C115/100*55</f>
        <v>255.42000000000002</v>
      </c>
      <c r="K115" s="19">
        <f>C115/100*0.16</f>
        <v>0.74304000000000003</v>
      </c>
      <c r="L115" s="99">
        <v>540</v>
      </c>
      <c r="M115" s="17">
        <v>62</v>
      </c>
      <c r="N115" s="101">
        <f t="shared" si="6"/>
        <v>33480</v>
      </c>
      <c r="O115" s="3"/>
      <c r="Q115" s="2"/>
      <c r="R115" s="2"/>
      <c r="S115" s="3"/>
    </row>
    <row r="116" spans="1:20" ht="18" customHeight="1" x14ac:dyDescent="0.25">
      <c r="A116" s="7">
        <v>7</v>
      </c>
      <c r="B116" s="4" t="s">
        <v>80</v>
      </c>
      <c r="C116" s="10">
        <f>L116/100*82</f>
        <v>1410.3999999999999</v>
      </c>
      <c r="D116" s="11">
        <f>C116/100*27</f>
        <v>380.80799999999999</v>
      </c>
      <c r="E116" s="14"/>
      <c r="F116" s="14">
        <f>C116/100*0.3</f>
        <v>4.2311999999999994</v>
      </c>
      <c r="G116" s="14"/>
      <c r="H116" s="14">
        <f>C116/100*0.1</f>
        <v>1.4104000000000001</v>
      </c>
      <c r="I116" s="14">
        <f>C116/100*6.1</f>
        <v>86.034399999999991</v>
      </c>
      <c r="J116" s="55">
        <f>C116/100*24</f>
        <v>338.49599999999998</v>
      </c>
      <c r="K116" s="18">
        <f>C116/100*0.03</f>
        <v>0.42311999999999994</v>
      </c>
      <c r="L116" s="143">
        <v>1720</v>
      </c>
      <c r="M116" s="13">
        <v>22</v>
      </c>
      <c r="N116" s="101">
        <f t="shared" si="6"/>
        <v>37840</v>
      </c>
      <c r="O116" s="3"/>
      <c r="Q116" s="2"/>
      <c r="R116" s="2"/>
      <c r="S116" s="3"/>
    </row>
    <row r="117" spans="1:20" ht="18" customHeight="1" x14ac:dyDescent="0.25">
      <c r="A117" s="7">
        <v>8</v>
      </c>
      <c r="B117" s="8" t="s">
        <v>92</v>
      </c>
      <c r="C117" s="10">
        <f>L117/100*43</f>
        <v>197.79999999999998</v>
      </c>
      <c r="D117" s="11">
        <f>C117/100*83</f>
        <v>164.17399999999998</v>
      </c>
      <c r="E117" s="12">
        <f>C117/100*7.7</f>
        <v>15.230599999999999</v>
      </c>
      <c r="F117" s="12"/>
      <c r="G117" s="12">
        <f>C117/100*5.5</f>
        <v>10.878999999999998</v>
      </c>
      <c r="H117" s="12"/>
      <c r="I117" s="12"/>
      <c r="J117" s="19"/>
      <c r="K117" s="19"/>
      <c r="L117" s="99">
        <v>460</v>
      </c>
      <c r="M117" s="17">
        <v>132</v>
      </c>
      <c r="N117" s="101">
        <f t="shared" si="6"/>
        <v>60720</v>
      </c>
      <c r="O117" s="3"/>
    </row>
    <row r="118" spans="1:20" ht="18" customHeight="1" x14ac:dyDescent="0.25">
      <c r="A118" s="7">
        <v>9</v>
      </c>
      <c r="B118" s="4" t="s">
        <v>117</v>
      </c>
      <c r="C118" s="10">
        <f>L118/100*100</f>
        <v>40</v>
      </c>
      <c r="D118" s="11">
        <f>C118/100*247</f>
        <v>98.800000000000011</v>
      </c>
      <c r="E118" s="14"/>
      <c r="F118" s="14">
        <f>C118/100*17.5</f>
        <v>7</v>
      </c>
      <c r="G118" s="14"/>
      <c r="H118" s="14">
        <f>C118/100*1.6</f>
        <v>0.64000000000000012</v>
      </c>
      <c r="I118" s="14">
        <f>C118/100*39.2</f>
        <v>15.680000000000001</v>
      </c>
      <c r="J118" s="18"/>
      <c r="K118" s="18"/>
      <c r="L118" s="143">
        <v>40</v>
      </c>
      <c r="M118" s="17">
        <v>50</v>
      </c>
      <c r="N118" s="101">
        <f t="shared" si="6"/>
        <v>2000</v>
      </c>
      <c r="O118" s="3"/>
      <c r="Q118" s="2"/>
      <c r="R118" s="2"/>
      <c r="S118" s="3"/>
      <c r="T118" s="2"/>
    </row>
    <row r="119" spans="1:20" ht="18" customHeight="1" x14ac:dyDescent="0.25">
      <c r="A119" s="7">
        <v>10</v>
      </c>
      <c r="B119" s="8" t="s">
        <v>111</v>
      </c>
      <c r="C119" s="10"/>
      <c r="D119" s="11"/>
      <c r="E119" s="12"/>
      <c r="F119" s="12"/>
      <c r="G119" s="12"/>
      <c r="H119" s="12"/>
      <c r="I119" s="12"/>
      <c r="J119" s="12"/>
      <c r="K119" s="12"/>
      <c r="L119" s="13"/>
      <c r="M119" s="13"/>
      <c r="N119" s="10">
        <v>3400</v>
      </c>
      <c r="O119" s="3"/>
    </row>
    <row r="120" spans="1:20" ht="18" customHeight="1" x14ac:dyDescent="0.25">
      <c r="A120" s="20" t="s">
        <v>105</v>
      </c>
      <c r="B120" s="21"/>
      <c r="C120" s="22"/>
      <c r="D120" s="84">
        <f>SUM(D110:D119)</f>
        <v>13736.034</v>
      </c>
      <c r="E120" s="5"/>
      <c r="F120" s="5"/>
      <c r="G120" s="5"/>
      <c r="H120" s="5"/>
      <c r="I120" s="5"/>
      <c r="J120" s="5"/>
      <c r="K120" s="5"/>
      <c r="L120" s="28"/>
      <c r="M120" s="28"/>
      <c r="N120" s="314">
        <f>SUM(N110:N119)</f>
        <v>361314</v>
      </c>
      <c r="O120" s="3"/>
    </row>
    <row r="121" spans="1:20" ht="18" customHeight="1" x14ac:dyDescent="0.25">
      <c r="A121" s="20" t="s">
        <v>46</v>
      </c>
      <c r="B121" s="21"/>
      <c r="C121" s="45"/>
      <c r="D121" s="31">
        <f>D120/C88</f>
        <v>254.37099999999998</v>
      </c>
      <c r="E121" s="31"/>
      <c r="F121" s="31"/>
      <c r="G121" s="31"/>
      <c r="H121" s="31"/>
      <c r="I121" s="31"/>
      <c r="J121" s="31"/>
      <c r="K121" s="31"/>
      <c r="L121" s="46"/>
      <c r="M121" s="28"/>
      <c r="N121" s="315"/>
      <c r="O121" s="142"/>
      <c r="R121" s="128"/>
    </row>
    <row r="122" spans="1:20" ht="18" customHeight="1" x14ac:dyDescent="0.25">
      <c r="A122" s="307" t="s">
        <v>53</v>
      </c>
      <c r="B122" s="218"/>
      <c r="C122" s="145" t="s">
        <v>132</v>
      </c>
      <c r="D122" s="26" t="s">
        <v>48</v>
      </c>
      <c r="E122" s="30"/>
      <c r="F122" s="30"/>
      <c r="G122" s="30"/>
      <c r="H122" s="30"/>
      <c r="I122" s="30"/>
      <c r="J122" s="31"/>
      <c r="K122" s="31"/>
      <c r="L122" s="28"/>
      <c r="M122" s="28"/>
      <c r="N122" s="137"/>
      <c r="O122" s="142"/>
    </row>
    <row r="123" spans="1:20" ht="18" customHeight="1" x14ac:dyDescent="0.25">
      <c r="A123" s="219"/>
      <c r="B123" s="220"/>
      <c r="C123" s="54" t="s">
        <v>58</v>
      </c>
      <c r="D123" s="26">
        <f>D121*100/930</f>
        <v>27.351720430107527</v>
      </c>
      <c r="E123" s="30"/>
      <c r="F123" s="30"/>
      <c r="G123" s="30"/>
      <c r="H123" s="30"/>
      <c r="I123" s="30"/>
      <c r="J123" s="31"/>
      <c r="K123" s="31"/>
      <c r="L123" s="28"/>
      <c r="M123" s="28"/>
      <c r="N123" s="137"/>
      <c r="O123" s="142"/>
    </row>
    <row r="124" spans="1:20" ht="18" customHeight="1" x14ac:dyDescent="0.3">
      <c r="A124" s="245" t="s">
        <v>39</v>
      </c>
      <c r="B124" s="245"/>
      <c r="C124" s="47"/>
      <c r="D124" s="48"/>
      <c r="E124" s="48"/>
      <c r="F124" s="48"/>
      <c r="G124" s="48"/>
      <c r="H124" s="48"/>
      <c r="I124" s="48"/>
      <c r="J124" s="48"/>
      <c r="K124" s="48"/>
      <c r="L124" s="49"/>
      <c r="M124" s="49"/>
      <c r="N124" s="50"/>
      <c r="O124" s="142"/>
    </row>
    <row r="125" spans="1:20" ht="18" customHeight="1" x14ac:dyDescent="0.25">
      <c r="A125" s="107">
        <v>1</v>
      </c>
      <c r="B125" s="126" t="s">
        <v>130</v>
      </c>
      <c r="C125" s="22">
        <f>L125/100*100</f>
        <v>919.99999999999989</v>
      </c>
      <c r="D125" s="108">
        <f>C125/100*487</f>
        <v>4480.3999999999996</v>
      </c>
      <c r="E125" s="24"/>
      <c r="F125" s="24">
        <f>C125/100*19.5</f>
        <v>179.39999999999998</v>
      </c>
      <c r="G125" s="24"/>
      <c r="H125" s="24">
        <f>C125/100*23.2</f>
        <v>213.43999999999997</v>
      </c>
      <c r="I125" s="24">
        <f>C125/100*46</f>
        <v>423.2</v>
      </c>
      <c r="J125" s="109">
        <f>C125/100*680</f>
        <v>6255.9999999999991</v>
      </c>
      <c r="K125" s="24">
        <f>C125/100*0.55</f>
        <v>5.0599999999999996</v>
      </c>
      <c r="L125" s="25">
        <v>920</v>
      </c>
      <c r="M125" s="127">
        <v>260</v>
      </c>
      <c r="N125" s="22">
        <f t="shared" ref="N125" si="8">L125*M125</f>
        <v>239200</v>
      </c>
      <c r="O125" s="3"/>
      <c r="P125" s="2"/>
    </row>
    <row r="126" spans="1:20" ht="19.149999999999999" customHeight="1" x14ac:dyDescent="0.25">
      <c r="A126" s="233" t="s">
        <v>0</v>
      </c>
      <c r="B126" s="238" t="s">
        <v>19</v>
      </c>
      <c r="C126" s="238" t="s">
        <v>8</v>
      </c>
      <c r="D126" s="238" t="s">
        <v>9</v>
      </c>
      <c r="E126" s="241" t="s">
        <v>11</v>
      </c>
      <c r="F126" s="242"/>
      <c r="G126" s="241" t="s">
        <v>13</v>
      </c>
      <c r="H126" s="242"/>
      <c r="I126" s="233" t="s">
        <v>16</v>
      </c>
      <c r="J126" s="233" t="s">
        <v>32</v>
      </c>
      <c r="K126" s="233" t="s">
        <v>33</v>
      </c>
      <c r="L126" s="233" t="s">
        <v>17</v>
      </c>
      <c r="M126" s="233" t="s">
        <v>34</v>
      </c>
      <c r="N126" s="233" t="s">
        <v>18</v>
      </c>
      <c r="O126" s="140"/>
    </row>
    <row r="127" spans="1:20" ht="19.149999999999999" customHeight="1" x14ac:dyDescent="0.25">
      <c r="A127" s="236"/>
      <c r="B127" s="239"/>
      <c r="C127" s="239"/>
      <c r="D127" s="239"/>
      <c r="E127" s="243"/>
      <c r="F127" s="244"/>
      <c r="G127" s="243"/>
      <c r="H127" s="244"/>
      <c r="I127" s="234"/>
      <c r="J127" s="234"/>
      <c r="K127" s="234"/>
      <c r="L127" s="234"/>
      <c r="M127" s="234"/>
      <c r="N127" s="236"/>
      <c r="O127" s="132"/>
    </row>
    <row r="128" spans="1:20" ht="19.149999999999999" customHeight="1" x14ac:dyDescent="0.25">
      <c r="A128" s="236"/>
      <c r="B128" s="239"/>
      <c r="C128" s="239"/>
      <c r="D128" s="239"/>
      <c r="E128" s="233" t="s">
        <v>10</v>
      </c>
      <c r="F128" s="233" t="s">
        <v>12</v>
      </c>
      <c r="G128" s="233" t="s">
        <v>14</v>
      </c>
      <c r="H128" s="233" t="s">
        <v>15</v>
      </c>
      <c r="I128" s="234"/>
      <c r="J128" s="234"/>
      <c r="K128" s="234"/>
      <c r="L128" s="234"/>
      <c r="M128" s="234"/>
      <c r="N128" s="236"/>
      <c r="O128" s="132"/>
    </row>
    <row r="129" spans="1:22" ht="19.149999999999999" customHeight="1" x14ac:dyDescent="0.25">
      <c r="A129" s="237"/>
      <c r="B129" s="240"/>
      <c r="C129" s="240"/>
      <c r="D129" s="240"/>
      <c r="E129" s="235"/>
      <c r="F129" s="235"/>
      <c r="G129" s="235"/>
      <c r="H129" s="235"/>
      <c r="I129" s="235"/>
      <c r="J129" s="235"/>
      <c r="K129" s="235"/>
      <c r="L129" s="235"/>
      <c r="M129" s="235"/>
      <c r="N129" s="237"/>
      <c r="O129" s="132"/>
    </row>
    <row r="130" spans="1:22" ht="21" customHeight="1" x14ac:dyDescent="0.25">
      <c r="A130" s="20" t="s">
        <v>98</v>
      </c>
      <c r="B130" s="21"/>
      <c r="C130" s="22"/>
      <c r="D130" s="23">
        <f>SUM(D124:D125)</f>
        <v>4480.3999999999996</v>
      </c>
      <c r="E130" s="5"/>
      <c r="F130" s="5"/>
      <c r="G130" s="5"/>
      <c r="H130" s="5"/>
      <c r="I130" s="5"/>
      <c r="J130" s="5"/>
      <c r="K130" s="5"/>
      <c r="L130" s="28"/>
      <c r="M130" s="46"/>
      <c r="N130" s="314">
        <f>SUM(N124:N125)</f>
        <v>239200</v>
      </c>
      <c r="O130" s="3"/>
    </row>
    <row r="131" spans="1:22" ht="21" customHeight="1" x14ac:dyDescent="0.25">
      <c r="A131" s="20" t="s">
        <v>7</v>
      </c>
      <c r="B131" s="21"/>
      <c r="C131" s="29"/>
      <c r="D131" s="30">
        <f>D130/C88</f>
        <v>82.970370370370361</v>
      </c>
      <c r="E131" s="30"/>
      <c r="F131" s="30"/>
      <c r="G131" s="30"/>
      <c r="H131" s="30"/>
      <c r="I131" s="30"/>
      <c r="J131" s="30"/>
      <c r="K131" s="30"/>
      <c r="L131" s="28"/>
      <c r="M131" s="15"/>
      <c r="N131" s="315"/>
      <c r="O131" s="142"/>
    </row>
    <row r="132" spans="1:22" ht="21" customHeight="1" x14ac:dyDescent="0.25">
      <c r="A132" s="307" t="s">
        <v>51</v>
      </c>
      <c r="B132" s="218"/>
      <c r="C132" s="145" t="s">
        <v>132</v>
      </c>
      <c r="D132" s="26" t="s">
        <v>49</v>
      </c>
      <c r="E132" s="30"/>
      <c r="F132" s="30"/>
      <c r="G132" s="30"/>
      <c r="H132" s="30"/>
      <c r="I132" s="30"/>
      <c r="J132" s="31"/>
      <c r="K132" s="31"/>
      <c r="L132" s="28"/>
      <c r="M132" s="28"/>
      <c r="N132" s="137"/>
      <c r="O132" s="3"/>
    </row>
    <row r="133" spans="1:22" ht="21" customHeight="1" x14ac:dyDescent="0.25">
      <c r="A133" s="219"/>
      <c r="B133" s="220"/>
      <c r="C133" s="54" t="s">
        <v>58</v>
      </c>
      <c r="D133" s="26">
        <f>D131*100/930</f>
        <v>8.9215452011150926</v>
      </c>
      <c r="E133" s="30"/>
      <c r="F133" s="30"/>
      <c r="G133" s="30"/>
      <c r="H133" s="30"/>
      <c r="I133" s="30"/>
      <c r="J133" s="31"/>
      <c r="K133" s="31"/>
      <c r="L133" s="28"/>
      <c r="M133" s="28"/>
      <c r="N133" s="137"/>
      <c r="O133" s="3"/>
    </row>
    <row r="134" spans="1:22" ht="21" customHeight="1" x14ac:dyDescent="0.25">
      <c r="A134" s="221" t="s">
        <v>99</v>
      </c>
      <c r="B134" s="222"/>
      <c r="C134" s="225"/>
      <c r="D134" s="227">
        <f>D105+D120+D130</f>
        <v>34604.731499999994</v>
      </c>
      <c r="E134" s="5">
        <f>SUM(E94:E125)</f>
        <v>874.97860000000003</v>
      </c>
      <c r="F134" s="5">
        <f>SUM(F94:F125)</f>
        <v>591.95855000000006</v>
      </c>
      <c r="G134" s="5">
        <f>SUM(G94:G124)</f>
        <v>944.05100000000004</v>
      </c>
      <c r="H134" s="5">
        <f>SUM(H94:H125)</f>
        <v>405.76029999999997</v>
      </c>
      <c r="I134" s="278">
        <f>SUM(I94:I125)</f>
        <v>4014.6168999999991</v>
      </c>
      <c r="J134" s="278">
        <f>SUM(J94:J125)</f>
        <v>11582.8665</v>
      </c>
      <c r="K134" s="229">
        <f>SUM(K94:K125)</f>
        <v>29.353010000000005</v>
      </c>
      <c r="L134" s="193"/>
      <c r="M134" s="193"/>
      <c r="N134" s="194">
        <f>N105+N120+N130</f>
        <v>1187500</v>
      </c>
    </row>
    <row r="135" spans="1:22" ht="21" customHeight="1" x14ac:dyDescent="0.25">
      <c r="A135" s="223"/>
      <c r="B135" s="224"/>
      <c r="C135" s="226"/>
      <c r="D135" s="228"/>
      <c r="E135" s="195">
        <f>E134+F134</f>
        <v>1466.9371500000002</v>
      </c>
      <c r="F135" s="196"/>
      <c r="G135" s="195">
        <f>G134+H134</f>
        <v>1349.8113000000001</v>
      </c>
      <c r="H135" s="196"/>
      <c r="I135" s="279"/>
      <c r="J135" s="279"/>
      <c r="K135" s="230"/>
      <c r="L135" s="193"/>
      <c r="M135" s="193"/>
      <c r="N135" s="194"/>
    </row>
    <row r="136" spans="1:22" ht="21" customHeight="1" x14ac:dyDescent="0.25">
      <c r="A136" s="200" t="s">
        <v>75</v>
      </c>
      <c r="B136" s="201"/>
      <c r="C136" s="202"/>
      <c r="D136" s="90">
        <f>D134/C88</f>
        <v>640.82836111111101</v>
      </c>
      <c r="E136" s="96">
        <f>E134/C88</f>
        <v>16.203307407407408</v>
      </c>
      <c r="F136" s="95">
        <f>F134/C88</f>
        <v>10.962195370370372</v>
      </c>
      <c r="G136" s="96">
        <f>G134/C88</f>
        <v>17.482425925925927</v>
      </c>
      <c r="H136" s="95">
        <f>H134/C88</f>
        <v>7.5140796296296291</v>
      </c>
      <c r="I136" s="206">
        <f>I134/C88</f>
        <v>74.344757407407386</v>
      </c>
      <c r="J136" s="206">
        <f>J134/C88</f>
        <v>214.49752777777778</v>
      </c>
      <c r="K136" s="206">
        <f>K134/C88</f>
        <v>0.5435742592592594</v>
      </c>
      <c r="L136" s="193"/>
      <c r="M136" s="193"/>
      <c r="N136" s="194"/>
    </row>
    <row r="137" spans="1:22" ht="21" customHeight="1" x14ac:dyDescent="0.25">
      <c r="A137" s="203"/>
      <c r="B137" s="204"/>
      <c r="C137" s="205"/>
      <c r="D137" s="87"/>
      <c r="E137" s="190">
        <f>E136+F136</f>
        <v>27.165502777777782</v>
      </c>
      <c r="F137" s="191"/>
      <c r="G137" s="190">
        <f>G136+H136</f>
        <v>24.996505555555558</v>
      </c>
      <c r="H137" s="191"/>
      <c r="I137" s="207"/>
      <c r="J137" s="207"/>
      <c r="K137" s="207"/>
      <c r="L137" s="193"/>
      <c r="M137" s="193"/>
      <c r="N137" s="194"/>
      <c r="P137" s="106"/>
      <c r="Q137" s="188"/>
      <c r="R137" s="188"/>
      <c r="S137" s="188"/>
      <c r="T137" s="188"/>
      <c r="U137" s="189"/>
      <c r="V137" s="189"/>
    </row>
    <row r="138" spans="1:22" ht="21" customHeight="1" x14ac:dyDescent="0.25">
      <c r="A138" s="211" t="s">
        <v>76</v>
      </c>
      <c r="B138" s="212"/>
      <c r="C138" s="213"/>
      <c r="D138" s="136" t="s">
        <v>28</v>
      </c>
      <c r="E138" s="184" t="s">
        <v>24</v>
      </c>
      <c r="F138" s="184"/>
      <c r="G138" s="184" t="s">
        <v>25</v>
      </c>
      <c r="H138" s="184"/>
      <c r="I138" s="136" t="s">
        <v>26</v>
      </c>
      <c r="J138" s="133">
        <v>500</v>
      </c>
      <c r="K138" s="133">
        <v>0.59</v>
      </c>
      <c r="L138" s="193"/>
      <c r="M138" s="193"/>
      <c r="N138" s="194"/>
      <c r="O138" s="147"/>
      <c r="P138" s="154"/>
      <c r="Q138" s="188"/>
      <c r="R138" s="188"/>
      <c r="S138" s="192"/>
      <c r="T138" s="192"/>
      <c r="U138" s="188"/>
      <c r="V138" s="188"/>
    </row>
    <row r="139" spans="1:22" ht="21" customHeight="1" x14ac:dyDescent="0.25">
      <c r="A139" s="180" t="s">
        <v>69</v>
      </c>
      <c r="B139" s="185"/>
      <c r="C139" s="181"/>
      <c r="D139" s="16"/>
      <c r="E139" s="186">
        <f>E137*4.1</f>
        <v>111.3785613888889</v>
      </c>
      <c r="F139" s="187"/>
      <c r="G139" s="186">
        <f>G137*9</f>
        <v>224.96855000000002</v>
      </c>
      <c r="H139" s="187"/>
      <c r="I139" s="60">
        <f>I136*4.1</f>
        <v>304.81350537037025</v>
      </c>
      <c r="J139" s="197"/>
      <c r="K139" s="197"/>
      <c r="L139" s="193"/>
      <c r="M139" s="193"/>
      <c r="N139" s="194"/>
      <c r="O139" s="147"/>
      <c r="P139" s="151"/>
      <c r="Q139" s="152"/>
      <c r="R139" s="152"/>
      <c r="S139" s="152"/>
      <c r="T139" s="106"/>
      <c r="U139" s="106"/>
      <c r="V139" s="106"/>
    </row>
    <row r="140" spans="1:22" ht="21" customHeight="1" x14ac:dyDescent="0.25">
      <c r="A140" s="176" t="s">
        <v>77</v>
      </c>
      <c r="B140" s="177"/>
      <c r="C140" s="180" t="s">
        <v>58</v>
      </c>
      <c r="D140" s="181"/>
      <c r="E140" s="266">
        <f>E139*100/D136</f>
        <v>17.380404512024612</v>
      </c>
      <c r="F140" s="267"/>
      <c r="G140" s="266">
        <f>G139*100/D136</f>
        <v>35.105897874110084</v>
      </c>
      <c r="H140" s="267"/>
      <c r="I140" s="76">
        <f>I139*100/D136</f>
        <v>47.565545451494103</v>
      </c>
      <c r="J140" s="198"/>
      <c r="K140" s="198"/>
      <c r="L140" s="193"/>
      <c r="M140" s="193"/>
      <c r="N140" s="194"/>
      <c r="O140" s="147"/>
      <c r="P140" s="106"/>
      <c r="Q140" s="153"/>
      <c r="R140" s="106"/>
      <c r="S140" s="106"/>
      <c r="T140" s="106"/>
      <c r="U140" s="106"/>
      <c r="V140" s="106"/>
    </row>
    <row r="141" spans="1:22" ht="21" customHeight="1" x14ac:dyDescent="0.25">
      <c r="A141" s="178"/>
      <c r="B141" s="179"/>
      <c r="C141" s="180" t="s">
        <v>71</v>
      </c>
      <c r="D141" s="181"/>
      <c r="E141" s="180" t="s">
        <v>72</v>
      </c>
      <c r="F141" s="181"/>
      <c r="G141" s="180" t="s">
        <v>78</v>
      </c>
      <c r="H141" s="181"/>
      <c r="I141" s="136" t="s">
        <v>79</v>
      </c>
      <c r="J141" s="199"/>
      <c r="K141" s="199"/>
      <c r="L141" s="193"/>
      <c r="M141" s="193"/>
      <c r="N141" s="194"/>
      <c r="O141" s="147"/>
      <c r="P141" s="2"/>
    </row>
    <row r="142" spans="1:22" ht="21" customHeight="1" x14ac:dyDescent="0.25">
      <c r="A142" s="63"/>
      <c r="B142" s="64"/>
      <c r="C142" s="63"/>
      <c r="D142" s="63"/>
      <c r="E142" s="63"/>
      <c r="F142" s="63"/>
      <c r="G142" s="63"/>
      <c r="H142" s="63"/>
      <c r="I142" s="63"/>
      <c r="J142" s="63"/>
      <c r="K142" s="63"/>
      <c r="L142" s="65"/>
      <c r="M142" s="65"/>
      <c r="N142" s="66"/>
      <c r="O142" s="147"/>
    </row>
    <row r="143" spans="1:22" ht="21" customHeight="1" x14ac:dyDescent="0.25">
      <c r="A143" s="172" t="s">
        <v>100</v>
      </c>
      <c r="B143" s="172"/>
      <c r="C143" s="172"/>
      <c r="D143" s="172"/>
      <c r="E143" s="172"/>
      <c r="F143" s="172"/>
      <c r="G143" s="172"/>
      <c r="H143" s="172"/>
      <c r="I143" s="172"/>
      <c r="J143" s="172"/>
      <c r="K143" s="172"/>
      <c r="L143" s="172"/>
      <c r="M143" s="172"/>
      <c r="N143" s="172"/>
      <c r="O143" s="147"/>
    </row>
    <row r="144" spans="1:22" ht="21" customHeight="1" x14ac:dyDescent="0.25">
      <c r="A144" s="77" t="s">
        <v>101</v>
      </c>
      <c r="B144" s="173" t="s">
        <v>102</v>
      </c>
      <c r="C144" s="173"/>
      <c r="D144" s="173"/>
      <c r="E144" s="173"/>
      <c r="F144" s="173"/>
      <c r="G144" s="173"/>
      <c r="H144" s="173"/>
      <c r="I144" s="173"/>
      <c r="J144" s="173"/>
      <c r="K144" s="173"/>
      <c r="L144" s="173"/>
      <c r="M144" s="173"/>
      <c r="N144" s="173"/>
      <c r="O144" s="147"/>
    </row>
    <row r="145" spans="1:15" ht="21" customHeight="1" x14ac:dyDescent="0.25">
      <c r="A145" s="78"/>
      <c r="B145" s="174" t="s">
        <v>192</v>
      </c>
      <c r="C145" s="174"/>
      <c r="D145" s="174"/>
      <c r="E145" s="174"/>
      <c r="F145" s="174"/>
      <c r="G145" s="174"/>
      <c r="H145" s="174"/>
      <c r="I145" s="174"/>
      <c r="J145" s="174"/>
      <c r="K145" s="174"/>
      <c r="L145" s="174"/>
      <c r="M145" s="174"/>
      <c r="N145" s="174"/>
      <c r="O145" s="147"/>
    </row>
    <row r="146" spans="1:15" ht="21" customHeight="1" x14ac:dyDescent="0.25">
      <c r="A146" s="78"/>
      <c r="B146" s="174" t="s">
        <v>165</v>
      </c>
      <c r="C146" s="174"/>
      <c r="D146" s="174"/>
      <c r="E146" s="174"/>
      <c r="F146" s="174"/>
      <c r="G146" s="174"/>
      <c r="H146" s="174"/>
      <c r="I146" s="174"/>
      <c r="J146" s="174"/>
      <c r="K146" s="174"/>
      <c r="L146" s="174"/>
      <c r="M146" s="174"/>
      <c r="N146" s="174"/>
      <c r="O146" s="147"/>
    </row>
    <row r="147" spans="1:15" ht="21" customHeight="1" x14ac:dyDescent="0.25">
      <c r="A147" s="78"/>
      <c r="B147" s="174" t="s">
        <v>146</v>
      </c>
      <c r="C147" s="174"/>
      <c r="D147" s="174"/>
      <c r="E147" s="174"/>
      <c r="F147" s="174"/>
      <c r="G147" s="174"/>
      <c r="H147" s="174"/>
      <c r="I147" s="174"/>
      <c r="J147" s="174"/>
      <c r="K147" s="174"/>
      <c r="L147" s="174"/>
      <c r="M147" s="174"/>
      <c r="N147" s="174"/>
      <c r="O147" s="147"/>
    </row>
    <row r="148" spans="1:15" ht="21" customHeight="1" x14ac:dyDescent="0.25">
      <c r="A148" s="63"/>
      <c r="B148" s="175" t="s">
        <v>113</v>
      </c>
      <c r="C148" s="175"/>
      <c r="D148" s="175"/>
      <c r="E148" s="175"/>
      <c r="F148" s="175"/>
      <c r="G148" s="175"/>
      <c r="H148" s="175"/>
      <c r="I148" s="175"/>
      <c r="J148" s="175"/>
      <c r="K148" s="175"/>
      <c r="L148" s="175"/>
      <c r="M148" s="175"/>
      <c r="N148" s="175"/>
      <c r="O148" s="147"/>
    </row>
    <row r="149" spans="1:15" ht="21" customHeight="1" x14ac:dyDescent="0.25">
      <c r="A149" s="63"/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79"/>
      <c r="M149" s="79"/>
      <c r="N149" s="80"/>
      <c r="O149" s="147"/>
    </row>
    <row r="150" spans="1:15" ht="21" customHeight="1" x14ac:dyDescent="0.25">
      <c r="A150" s="168" t="s">
        <v>60</v>
      </c>
      <c r="B150" s="168"/>
      <c r="C150" s="168"/>
      <c r="D150" s="168"/>
      <c r="E150" s="148"/>
      <c r="F150" s="148"/>
      <c r="G150" s="148"/>
      <c r="H150" s="148"/>
      <c r="I150" s="148"/>
      <c r="J150" s="169" t="s">
        <v>36</v>
      </c>
      <c r="K150" s="169"/>
      <c r="L150" s="169"/>
      <c r="M150" s="169"/>
      <c r="N150" s="169"/>
      <c r="O150" s="147"/>
    </row>
    <row r="151" spans="1:15" ht="21" customHeight="1" x14ac:dyDescent="0.25">
      <c r="A151" s="132"/>
      <c r="B151" s="132"/>
      <c r="C151" s="132"/>
      <c r="D151" s="148"/>
      <c r="E151" s="148"/>
      <c r="F151" s="148"/>
      <c r="G151" s="148"/>
      <c r="H151" s="149"/>
      <c r="I151" s="149"/>
      <c r="J151" s="149"/>
      <c r="K151" s="149"/>
      <c r="L151" s="149"/>
      <c r="M151" s="149"/>
      <c r="N151" s="149"/>
      <c r="O151" s="147"/>
    </row>
    <row r="152" spans="1:15" ht="21" customHeight="1" x14ac:dyDescent="0.25">
      <c r="A152" s="132"/>
      <c r="B152" s="132"/>
      <c r="C152" s="132"/>
      <c r="D152" s="148"/>
      <c r="E152" s="148"/>
      <c r="F152" s="148"/>
      <c r="G152" s="148"/>
      <c r="H152" s="149"/>
      <c r="I152" s="149"/>
      <c r="J152" s="149"/>
      <c r="K152" s="149"/>
      <c r="L152" s="149"/>
      <c r="M152" s="149"/>
      <c r="N152" s="149"/>
      <c r="O152" s="147"/>
    </row>
    <row r="153" spans="1:15" ht="21" customHeight="1" x14ac:dyDescent="0.25">
      <c r="A153" s="132"/>
      <c r="B153" s="132"/>
      <c r="C153" s="132"/>
      <c r="D153" s="148"/>
      <c r="E153" s="148"/>
      <c r="F153" s="148"/>
      <c r="G153" s="148"/>
      <c r="H153" s="149"/>
      <c r="I153" s="149"/>
      <c r="J153" s="170" t="s">
        <v>103</v>
      </c>
      <c r="K153" s="170"/>
      <c r="L153" s="170"/>
      <c r="M153" s="170"/>
      <c r="N153" s="170"/>
      <c r="O153" s="147"/>
    </row>
    <row r="154" spans="1:15" ht="21" customHeight="1" x14ac:dyDescent="0.25">
      <c r="A154" s="171" t="s">
        <v>84</v>
      </c>
      <c r="B154" s="171"/>
      <c r="C154" s="171"/>
      <c r="D154" s="171"/>
      <c r="E154" s="148"/>
      <c r="F154" s="148"/>
      <c r="G154" s="148"/>
      <c r="H154" s="149"/>
      <c r="I154" s="149"/>
      <c r="J154" s="170"/>
      <c r="K154" s="170"/>
      <c r="L154" s="170"/>
      <c r="M154" s="170"/>
      <c r="N154" s="170"/>
      <c r="O154" s="147"/>
    </row>
    <row r="155" spans="1:15" ht="21" customHeight="1" x14ac:dyDescent="0.25">
      <c r="J155" s="149"/>
      <c r="K155" s="149"/>
      <c r="L155" s="149"/>
      <c r="M155" s="149"/>
      <c r="N155" s="149"/>
    </row>
    <row r="156" spans="1:15" ht="21" customHeight="1" x14ac:dyDescent="0.25">
      <c r="J156" s="170" t="s">
        <v>114</v>
      </c>
      <c r="K156" s="170"/>
      <c r="L156" s="170"/>
      <c r="M156" s="170"/>
      <c r="N156" s="170"/>
    </row>
  </sheetData>
  <mergeCells count="208">
    <mergeCell ref="J153:N153"/>
    <mergeCell ref="J156:N156"/>
    <mergeCell ref="J89:J92"/>
    <mergeCell ref="K89:K92"/>
    <mergeCell ref="N120:N121"/>
    <mergeCell ref="A122:B123"/>
    <mergeCell ref="A8:B8"/>
    <mergeCell ref="C8:D8"/>
    <mergeCell ref="A88:B88"/>
    <mergeCell ref="C88:D88"/>
    <mergeCell ref="A57:N57"/>
    <mergeCell ref="B58:N58"/>
    <mergeCell ref="B59:N59"/>
    <mergeCell ref="B60:N60"/>
    <mergeCell ref="B61:N61"/>
    <mergeCell ref="B62:N62"/>
    <mergeCell ref="A64:D64"/>
    <mergeCell ref="J64:N64"/>
    <mergeCell ref="A68:D68"/>
    <mergeCell ref="J68:N68"/>
    <mergeCell ref="G91:G92"/>
    <mergeCell ref="B89:B92"/>
    <mergeCell ref="A143:N143"/>
    <mergeCell ref="B144:N144"/>
    <mergeCell ref="B145:N145"/>
    <mergeCell ref="B146:N146"/>
    <mergeCell ref="B147:N147"/>
    <mergeCell ref="N130:N131"/>
    <mergeCell ref="A132:B133"/>
    <mergeCell ref="A134:B135"/>
    <mergeCell ref="C134:C135"/>
    <mergeCell ref="D134:D135"/>
    <mergeCell ref="I134:I135"/>
    <mergeCell ref="J134:J135"/>
    <mergeCell ref="K134:K135"/>
    <mergeCell ref="J139:J141"/>
    <mergeCell ref="K139:K141"/>
    <mergeCell ref="A140:B141"/>
    <mergeCell ref="C140:D140"/>
    <mergeCell ref="E140:F140"/>
    <mergeCell ref="G140:H140"/>
    <mergeCell ref="C141:D141"/>
    <mergeCell ref="E141:F141"/>
    <mergeCell ref="G141:H141"/>
    <mergeCell ref="J126:J129"/>
    <mergeCell ref="S137:T137"/>
    <mergeCell ref="U137:V137"/>
    <mergeCell ref="A138:C138"/>
    <mergeCell ref="E138:F138"/>
    <mergeCell ref="G138:H138"/>
    <mergeCell ref="Q138:R138"/>
    <mergeCell ref="S138:T138"/>
    <mergeCell ref="U138:V138"/>
    <mergeCell ref="L134:L141"/>
    <mergeCell ref="M134:M141"/>
    <mergeCell ref="N134:N141"/>
    <mergeCell ref="E135:F135"/>
    <mergeCell ref="G135:H135"/>
    <mergeCell ref="A136:C137"/>
    <mergeCell ref="I136:I137"/>
    <mergeCell ref="J136:J137"/>
    <mergeCell ref="K136:K137"/>
    <mergeCell ref="E137:F137"/>
    <mergeCell ref="G137:H137"/>
    <mergeCell ref="A139:C139"/>
    <mergeCell ref="E139:F139"/>
    <mergeCell ref="G139:H139"/>
    <mergeCell ref="Q137:R137"/>
    <mergeCell ref="A124:B124"/>
    <mergeCell ref="A126:A129"/>
    <mergeCell ref="B126:B129"/>
    <mergeCell ref="C126:C129"/>
    <mergeCell ref="D126:D129"/>
    <mergeCell ref="E126:F127"/>
    <mergeCell ref="G126:H127"/>
    <mergeCell ref="I126:I129"/>
    <mergeCell ref="E128:E129"/>
    <mergeCell ref="F128:F129"/>
    <mergeCell ref="G128:G129"/>
    <mergeCell ref="H128:H129"/>
    <mergeCell ref="K126:K129"/>
    <mergeCell ref="L126:L129"/>
    <mergeCell ref="M126:M129"/>
    <mergeCell ref="N126:N129"/>
    <mergeCell ref="A107:B108"/>
    <mergeCell ref="A109:B109"/>
    <mergeCell ref="F80:N80"/>
    <mergeCell ref="E83:I83"/>
    <mergeCell ref="J83:N83"/>
    <mergeCell ref="A84:D84"/>
    <mergeCell ref="E84:I87"/>
    <mergeCell ref="J84:N84"/>
    <mergeCell ref="A86:D86"/>
    <mergeCell ref="J86:N86"/>
    <mergeCell ref="A87:D87"/>
    <mergeCell ref="J87:N87"/>
    <mergeCell ref="A82:D83"/>
    <mergeCell ref="E82:N82"/>
    <mergeCell ref="L89:L92"/>
    <mergeCell ref="M89:M92"/>
    <mergeCell ref="N89:N92"/>
    <mergeCell ref="E91:E92"/>
    <mergeCell ref="C89:C92"/>
    <mergeCell ref="D89:D92"/>
    <mergeCell ref="A4:D4"/>
    <mergeCell ref="A5:D5"/>
    <mergeCell ref="A6:D6"/>
    <mergeCell ref="A7:D7"/>
    <mergeCell ref="E4:I7"/>
    <mergeCell ref="J4:N7"/>
    <mergeCell ref="A50:C51"/>
    <mergeCell ref="K48:K49"/>
    <mergeCell ref="J50:J51"/>
    <mergeCell ref="K9:K12"/>
    <mergeCell ref="M9:M12"/>
    <mergeCell ref="I48:I49"/>
    <mergeCell ref="F91:F92"/>
    <mergeCell ref="K50:K51"/>
    <mergeCell ref="H91:H92"/>
    <mergeCell ref="A93:N93"/>
    <mergeCell ref="N105:N106"/>
    <mergeCell ref="A89:A92"/>
    <mergeCell ref="E55:F55"/>
    <mergeCell ref="A52:C52"/>
    <mergeCell ref="A53:C53"/>
    <mergeCell ref="E53:F53"/>
    <mergeCell ref="G53:H53"/>
    <mergeCell ref="J53:J55"/>
    <mergeCell ref="K53:K55"/>
    <mergeCell ref="A54:B55"/>
    <mergeCell ref="C54:D54"/>
    <mergeCell ref="I89:I92"/>
    <mergeCell ref="G55:H55"/>
    <mergeCell ref="E89:F90"/>
    <mergeCell ref="G89:H90"/>
    <mergeCell ref="J67:N67"/>
    <mergeCell ref="J70:N70"/>
    <mergeCell ref="G54:H54"/>
    <mergeCell ref="E54:F54"/>
    <mergeCell ref="A71:D71"/>
    <mergeCell ref="U51:V51"/>
    <mergeCell ref="U52:V52"/>
    <mergeCell ref="A28:B29"/>
    <mergeCell ref="A30:B30"/>
    <mergeCell ref="N44:N45"/>
    <mergeCell ref="A46:B47"/>
    <mergeCell ref="A48:B49"/>
    <mergeCell ref="C48:C49"/>
    <mergeCell ref="D48:D49"/>
    <mergeCell ref="G52:H52"/>
    <mergeCell ref="L48:L55"/>
    <mergeCell ref="M48:M55"/>
    <mergeCell ref="N48:N55"/>
    <mergeCell ref="E49:F49"/>
    <mergeCell ref="G49:H49"/>
    <mergeCell ref="I50:I51"/>
    <mergeCell ref="E51:F51"/>
    <mergeCell ref="G51:H51"/>
    <mergeCell ref="J48:J49"/>
    <mergeCell ref="K40:K43"/>
    <mergeCell ref="J71:N71"/>
    <mergeCell ref="E52:F52"/>
    <mergeCell ref="F1:N1"/>
    <mergeCell ref="Q51:R51"/>
    <mergeCell ref="S51:T51"/>
    <mergeCell ref="Q52:R52"/>
    <mergeCell ref="S52:T52"/>
    <mergeCell ref="A13:N13"/>
    <mergeCell ref="A9:A12"/>
    <mergeCell ref="B9:B12"/>
    <mergeCell ref="C9:C12"/>
    <mergeCell ref="D9:D12"/>
    <mergeCell ref="E9:F10"/>
    <mergeCell ref="G9:H10"/>
    <mergeCell ref="I9:I12"/>
    <mergeCell ref="L9:L12"/>
    <mergeCell ref="N9:N12"/>
    <mergeCell ref="E11:E12"/>
    <mergeCell ref="F11:F12"/>
    <mergeCell ref="G11:G12"/>
    <mergeCell ref="H11:H12"/>
    <mergeCell ref="J9:J12"/>
    <mergeCell ref="A3:D3"/>
    <mergeCell ref="E3:N3"/>
    <mergeCell ref="A85:D85"/>
    <mergeCell ref="J85:N85"/>
    <mergeCell ref="C55:D55"/>
    <mergeCell ref="N26:N27"/>
    <mergeCell ref="B148:N148"/>
    <mergeCell ref="A150:D150"/>
    <mergeCell ref="J150:N150"/>
    <mergeCell ref="A154:D154"/>
    <mergeCell ref="J154:N154"/>
    <mergeCell ref="L40:L43"/>
    <mergeCell ref="M40:M43"/>
    <mergeCell ref="N40:N43"/>
    <mergeCell ref="E42:E43"/>
    <mergeCell ref="F42:F43"/>
    <mergeCell ref="G42:G43"/>
    <mergeCell ref="H42:H43"/>
    <mergeCell ref="A40:A43"/>
    <mergeCell ref="B40:B43"/>
    <mergeCell ref="C40:C43"/>
    <mergeCell ref="D40:D43"/>
    <mergeCell ref="E40:F41"/>
    <mergeCell ref="G40:H41"/>
    <mergeCell ref="I40:I43"/>
    <mergeCell ref="J40:J43"/>
  </mergeCells>
  <pageMargins left="0.25" right="0.17708333333333334" top="0.42708333333333331" bottom="0.36458333333333331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54"/>
  <sheetViews>
    <sheetView view="pageLayout" workbookViewId="0">
      <selection activeCell="A6" sqref="A6:D6"/>
    </sheetView>
  </sheetViews>
  <sheetFormatPr defaultColWidth="9.140625" defaultRowHeight="21" customHeight="1" x14ac:dyDescent="0.25"/>
  <cols>
    <col min="1" max="1" width="4" style="1" customWidth="1"/>
    <col min="2" max="2" width="12" style="1" customWidth="1"/>
    <col min="3" max="3" width="7" style="1" customWidth="1"/>
    <col min="4" max="4" width="7.7109375" style="1" customWidth="1"/>
    <col min="5" max="5" width="6.7109375" style="1" customWidth="1"/>
    <col min="6" max="8" width="7" style="1" customWidth="1"/>
    <col min="9" max="9" width="6.85546875" style="1" customWidth="1"/>
    <col min="10" max="10" width="7.5703125" style="1" customWidth="1"/>
    <col min="11" max="11" width="6.42578125" style="1" customWidth="1"/>
    <col min="12" max="13" width="5.7109375" style="1" customWidth="1"/>
    <col min="14" max="14" width="10.42578125" style="1" customWidth="1"/>
    <col min="15" max="15" width="11.85546875" style="1" customWidth="1"/>
    <col min="16" max="16" width="9.140625" style="1"/>
    <col min="17" max="22" width="8.42578125" style="1" customWidth="1"/>
    <col min="23" max="16384" width="9.140625" style="1"/>
  </cols>
  <sheetData>
    <row r="1" spans="1:16" ht="22.15" customHeight="1" x14ac:dyDescent="0.3">
      <c r="A1" s="9" t="s">
        <v>59</v>
      </c>
      <c r="B1" s="6"/>
      <c r="C1" s="6"/>
      <c r="D1" s="6"/>
      <c r="E1" s="6"/>
      <c r="F1" s="265" t="s">
        <v>30</v>
      </c>
      <c r="G1" s="265"/>
      <c r="H1" s="265"/>
      <c r="I1" s="265"/>
      <c r="J1" s="265"/>
      <c r="K1" s="265"/>
      <c r="L1" s="265"/>
      <c r="M1" s="265"/>
      <c r="N1" s="265"/>
      <c r="O1" s="138"/>
      <c r="P1" s="138"/>
    </row>
    <row r="2" spans="1:16" ht="22.15" customHeight="1" x14ac:dyDescent="0.3">
      <c r="A2" s="6" t="s">
        <v>193</v>
      </c>
      <c r="B2" s="6"/>
      <c r="C2" s="6"/>
      <c r="D2" s="6"/>
      <c r="E2" s="6"/>
      <c r="F2" s="135"/>
      <c r="G2" s="135"/>
      <c r="H2" s="135"/>
      <c r="I2" s="135"/>
      <c r="J2" s="135"/>
      <c r="K2" s="135"/>
      <c r="L2" s="135"/>
      <c r="M2" s="135"/>
      <c r="N2" s="135"/>
      <c r="O2" s="138"/>
      <c r="P2" s="138"/>
    </row>
    <row r="3" spans="1:16" ht="22.15" customHeight="1" x14ac:dyDescent="0.25">
      <c r="A3" s="184" t="s">
        <v>95</v>
      </c>
      <c r="B3" s="184"/>
      <c r="C3" s="184"/>
      <c r="D3" s="184"/>
      <c r="E3" s="184" t="s">
        <v>93</v>
      </c>
      <c r="F3" s="184"/>
      <c r="G3" s="184"/>
      <c r="H3" s="184"/>
      <c r="I3" s="184"/>
      <c r="J3" s="184"/>
      <c r="K3" s="184"/>
      <c r="L3" s="184"/>
      <c r="M3" s="184"/>
      <c r="N3" s="184"/>
      <c r="O3" s="139"/>
    </row>
    <row r="4" spans="1:16" ht="22.15" customHeight="1" x14ac:dyDescent="0.25">
      <c r="A4" s="252" t="s">
        <v>83</v>
      </c>
      <c r="B4" s="252"/>
      <c r="C4" s="252"/>
      <c r="D4" s="252"/>
      <c r="E4" s="253" t="s">
        <v>131</v>
      </c>
      <c r="F4" s="253"/>
      <c r="G4" s="253"/>
      <c r="H4" s="253"/>
      <c r="I4" s="253"/>
      <c r="J4" s="284" t="s">
        <v>167</v>
      </c>
      <c r="K4" s="285"/>
      <c r="L4" s="285"/>
      <c r="M4" s="285"/>
      <c r="N4" s="286"/>
      <c r="O4" s="139"/>
    </row>
    <row r="5" spans="1:16" ht="22.15" customHeight="1" x14ac:dyDescent="0.25">
      <c r="A5" s="293" t="s">
        <v>129</v>
      </c>
      <c r="B5" s="294"/>
      <c r="C5" s="294"/>
      <c r="D5" s="295"/>
      <c r="E5" s="253"/>
      <c r="F5" s="253"/>
      <c r="G5" s="253"/>
      <c r="H5" s="253"/>
      <c r="I5" s="253"/>
      <c r="J5" s="287"/>
      <c r="K5" s="288"/>
      <c r="L5" s="288"/>
      <c r="M5" s="288"/>
      <c r="N5" s="289"/>
      <c r="O5" s="139"/>
    </row>
    <row r="6" spans="1:16" ht="22.15" customHeight="1" x14ac:dyDescent="0.25">
      <c r="A6" s="257" t="s">
        <v>147</v>
      </c>
      <c r="B6" s="257"/>
      <c r="C6" s="257"/>
      <c r="D6" s="257"/>
      <c r="E6" s="253"/>
      <c r="F6" s="253"/>
      <c r="G6" s="253"/>
      <c r="H6" s="253"/>
      <c r="I6" s="253"/>
      <c r="J6" s="287"/>
      <c r="K6" s="288"/>
      <c r="L6" s="288"/>
      <c r="M6" s="288"/>
      <c r="N6" s="289"/>
      <c r="O6" s="139"/>
    </row>
    <row r="7" spans="1:16" ht="22.15" customHeight="1" x14ac:dyDescent="0.25">
      <c r="A7" s="261" t="s">
        <v>166</v>
      </c>
      <c r="B7" s="261"/>
      <c r="C7" s="261"/>
      <c r="D7" s="261"/>
      <c r="E7" s="253"/>
      <c r="F7" s="253"/>
      <c r="G7" s="253"/>
      <c r="H7" s="253"/>
      <c r="I7" s="253"/>
      <c r="J7" s="290"/>
      <c r="K7" s="291"/>
      <c r="L7" s="291"/>
      <c r="M7" s="291"/>
      <c r="N7" s="292"/>
      <c r="O7" s="139"/>
    </row>
    <row r="8" spans="1:16" ht="22.15" customHeight="1" x14ac:dyDescent="0.3">
      <c r="A8" s="303" t="s">
        <v>110</v>
      </c>
      <c r="B8" s="303"/>
      <c r="C8" s="305">
        <v>202</v>
      </c>
      <c r="D8" s="305"/>
      <c r="E8" s="6"/>
      <c r="F8" s="135"/>
      <c r="G8" s="135"/>
      <c r="H8" s="135"/>
      <c r="I8" s="135"/>
      <c r="J8" s="135"/>
      <c r="K8" s="135"/>
      <c r="L8" s="135"/>
      <c r="M8" s="135"/>
      <c r="N8" s="135"/>
      <c r="O8" s="138"/>
      <c r="P8" s="138"/>
    </row>
    <row r="9" spans="1:16" ht="22.15" customHeight="1" x14ac:dyDescent="0.25">
      <c r="A9" s="233" t="s">
        <v>0</v>
      </c>
      <c r="B9" s="238" t="s">
        <v>19</v>
      </c>
      <c r="C9" s="238" t="s">
        <v>8</v>
      </c>
      <c r="D9" s="238" t="s">
        <v>9</v>
      </c>
      <c r="E9" s="318" t="s">
        <v>11</v>
      </c>
      <c r="F9" s="319"/>
      <c r="G9" s="318" t="s">
        <v>13</v>
      </c>
      <c r="H9" s="319"/>
      <c r="I9" s="233" t="s">
        <v>16</v>
      </c>
      <c r="J9" s="233" t="s">
        <v>32</v>
      </c>
      <c r="K9" s="233" t="s">
        <v>33</v>
      </c>
      <c r="L9" s="233" t="s">
        <v>17</v>
      </c>
      <c r="M9" s="233" t="s">
        <v>34</v>
      </c>
      <c r="N9" s="233" t="s">
        <v>18</v>
      </c>
      <c r="O9" s="140"/>
    </row>
    <row r="10" spans="1:16" ht="22.15" customHeight="1" x14ac:dyDescent="0.25">
      <c r="A10" s="236"/>
      <c r="B10" s="239"/>
      <c r="C10" s="239"/>
      <c r="D10" s="239"/>
      <c r="E10" s="320"/>
      <c r="F10" s="321"/>
      <c r="G10" s="320"/>
      <c r="H10" s="321"/>
      <c r="I10" s="234"/>
      <c r="J10" s="234"/>
      <c r="K10" s="234"/>
      <c r="L10" s="234"/>
      <c r="M10" s="234"/>
      <c r="N10" s="236"/>
      <c r="O10" s="132"/>
    </row>
    <row r="11" spans="1:16" ht="22.15" customHeight="1" x14ac:dyDescent="0.25">
      <c r="A11" s="236"/>
      <c r="B11" s="239"/>
      <c r="C11" s="239"/>
      <c r="D11" s="239"/>
      <c r="E11" s="233" t="s">
        <v>10</v>
      </c>
      <c r="F11" s="233" t="s">
        <v>12</v>
      </c>
      <c r="G11" s="233" t="s">
        <v>14</v>
      </c>
      <c r="H11" s="233" t="s">
        <v>15</v>
      </c>
      <c r="I11" s="234"/>
      <c r="J11" s="234"/>
      <c r="K11" s="234"/>
      <c r="L11" s="234"/>
      <c r="M11" s="234"/>
      <c r="N11" s="236"/>
      <c r="O11" s="132"/>
    </row>
    <row r="12" spans="1:16" ht="22.15" customHeight="1" x14ac:dyDescent="0.25">
      <c r="A12" s="237"/>
      <c r="B12" s="240"/>
      <c r="C12" s="240"/>
      <c r="D12" s="240"/>
      <c r="E12" s="235"/>
      <c r="F12" s="235"/>
      <c r="G12" s="235"/>
      <c r="H12" s="235"/>
      <c r="I12" s="235"/>
      <c r="J12" s="235"/>
      <c r="K12" s="235"/>
      <c r="L12" s="235"/>
      <c r="M12" s="235"/>
      <c r="N12" s="237"/>
      <c r="O12" s="132"/>
    </row>
    <row r="13" spans="1:16" ht="22.15" customHeight="1" x14ac:dyDescent="0.25">
      <c r="A13" s="246" t="s">
        <v>35</v>
      </c>
      <c r="B13" s="247"/>
      <c r="C13" s="247"/>
      <c r="D13" s="247"/>
      <c r="E13" s="247"/>
      <c r="F13" s="247"/>
      <c r="G13" s="247"/>
      <c r="H13" s="247"/>
      <c r="I13" s="247"/>
      <c r="J13" s="247"/>
      <c r="K13" s="247"/>
      <c r="L13" s="247"/>
      <c r="M13" s="247"/>
      <c r="N13" s="248"/>
      <c r="O13" s="132"/>
    </row>
    <row r="14" spans="1:16" ht="22.15" customHeight="1" x14ac:dyDescent="0.25">
      <c r="A14" s="7">
        <v>1</v>
      </c>
      <c r="B14" s="8" t="s">
        <v>2</v>
      </c>
      <c r="C14" s="10">
        <f>L14/100*100</f>
        <v>270</v>
      </c>
      <c r="D14" s="11">
        <f>C14/100*60</f>
        <v>162</v>
      </c>
      <c r="E14" s="12">
        <f>C14/100*15</f>
        <v>40.5</v>
      </c>
      <c r="F14" s="12"/>
      <c r="G14" s="12"/>
      <c r="H14" s="12"/>
      <c r="I14" s="12"/>
      <c r="J14" s="56">
        <f>C14/100*387</f>
        <v>1044.9000000000001</v>
      </c>
      <c r="K14" s="19">
        <f>C14/100*0.09</f>
        <v>0.24299999999999999</v>
      </c>
      <c r="L14" s="13">
        <v>270</v>
      </c>
      <c r="M14" s="17">
        <v>20</v>
      </c>
      <c r="N14" s="10">
        <f>L14*M14</f>
        <v>5400</v>
      </c>
      <c r="O14" s="3"/>
    </row>
    <row r="15" spans="1:16" ht="18" customHeight="1" x14ac:dyDescent="0.25">
      <c r="A15" s="7">
        <v>2</v>
      </c>
      <c r="B15" s="116" t="s">
        <v>126</v>
      </c>
      <c r="C15" s="10">
        <f t="shared" ref="C15" si="0">L15/100*100</f>
        <v>220.00000000000003</v>
      </c>
      <c r="D15" s="57">
        <f>C15/100*900</f>
        <v>1980.0000000000002</v>
      </c>
      <c r="E15" s="12"/>
      <c r="F15" s="12"/>
      <c r="G15" s="81"/>
      <c r="H15" s="12">
        <f>C15/100*100</f>
        <v>220.00000000000003</v>
      </c>
      <c r="I15" s="12"/>
      <c r="J15" s="12"/>
      <c r="K15" s="12"/>
      <c r="L15" s="99">
        <v>220</v>
      </c>
      <c r="M15" s="57">
        <v>63.5</v>
      </c>
      <c r="N15" s="83">
        <f t="shared" ref="N15:N24" si="1">L15*M15</f>
        <v>13970</v>
      </c>
      <c r="O15" s="141"/>
    </row>
    <row r="16" spans="1:16" ht="22.15" customHeight="1" x14ac:dyDescent="0.25">
      <c r="A16" s="7">
        <v>3</v>
      </c>
      <c r="B16" s="4" t="s">
        <v>1</v>
      </c>
      <c r="C16" s="10">
        <f>L16/100*100</f>
        <v>19190</v>
      </c>
      <c r="D16" s="57">
        <f>C16/100*338</f>
        <v>64862.200000000004</v>
      </c>
      <c r="E16" s="12"/>
      <c r="F16" s="81">
        <f>C16/100*7.9</f>
        <v>1516.0100000000002</v>
      </c>
      <c r="G16" s="12"/>
      <c r="H16" s="12">
        <f>C16/100*1</f>
        <v>191.9</v>
      </c>
      <c r="I16" s="81">
        <f>C16/100*78.9</f>
        <v>15140.910000000002</v>
      </c>
      <c r="J16" s="56">
        <f>C16/100*30</f>
        <v>5757</v>
      </c>
      <c r="K16" s="19">
        <f>C16/100*0.1</f>
        <v>19.190000000000001</v>
      </c>
      <c r="L16" s="155">
        <v>19190</v>
      </c>
      <c r="M16" s="17">
        <v>18</v>
      </c>
      <c r="N16" s="10">
        <f t="shared" si="1"/>
        <v>345420</v>
      </c>
      <c r="O16" s="3"/>
    </row>
    <row r="17" spans="1:20" ht="20.45" customHeight="1" x14ac:dyDescent="0.25">
      <c r="A17" s="7">
        <v>4</v>
      </c>
      <c r="B17" s="8" t="s">
        <v>119</v>
      </c>
      <c r="C17" s="10">
        <f>L17/100*100</f>
        <v>1420</v>
      </c>
      <c r="D17" s="11">
        <f>C17/100*53</f>
        <v>752.59999999999991</v>
      </c>
      <c r="E17" s="12"/>
      <c r="F17" s="12">
        <f>C17/100*6.3</f>
        <v>89.46</v>
      </c>
      <c r="G17" s="12"/>
      <c r="H17" s="12">
        <f>C17/100*0.04</f>
        <v>0.56799999999999995</v>
      </c>
      <c r="I17" s="12">
        <f>C17/100*6.8</f>
        <v>96.559999999999988</v>
      </c>
      <c r="J17" s="19">
        <f>C17/100*19</f>
        <v>269.8</v>
      </c>
      <c r="K17" s="19">
        <f>C17/100*0.03</f>
        <v>0.42599999999999999</v>
      </c>
      <c r="L17" s="99">
        <v>1420</v>
      </c>
      <c r="M17" s="17">
        <v>42.5</v>
      </c>
      <c r="N17" s="10">
        <f t="shared" si="1"/>
        <v>60350</v>
      </c>
      <c r="O17" s="146"/>
    </row>
    <row r="18" spans="1:20" ht="19.149999999999999" customHeight="1" x14ac:dyDescent="0.25">
      <c r="A18" s="7">
        <v>5</v>
      </c>
      <c r="B18" s="8" t="s">
        <v>128</v>
      </c>
      <c r="C18" s="10">
        <f>L18/100*90</f>
        <v>189</v>
      </c>
      <c r="D18" s="11">
        <f>C18/100*281</f>
        <v>531.08999999999992</v>
      </c>
      <c r="E18" s="12"/>
      <c r="F18" s="12">
        <f>C18/100*9.5</f>
        <v>17.954999999999998</v>
      </c>
      <c r="G18" s="12"/>
      <c r="H18" s="12">
        <f>C18/100*0.2</f>
        <v>0.378</v>
      </c>
      <c r="I18" s="12">
        <f>D18/100*58.5</f>
        <v>310.68764999999996</v>
      </c>
      <c r="J18" s="19">
        <f>C18/100*321</f>
        <v>606.68999999999994</v>
      </c>
      <c r="K18" s="19">
        <f>C18/100*0.14</f>
        <v>0.2646</v>
      </c>
      <c r="L18" s="99">
        <v>210</v>
      </c>
      <c r="M18" s="38">
        <v>120</v>
      </c>
      <c r="N18" s="10">
        <f t="shared" si="1"/>
        <v>25200</v>
      </c>
      <c r="O18" s="146"/>
    </row>
    <row r="19" spans="1:20" ht="22.15" customHeight="1" x14ac:dyDescent="0.25">
      <c r="A19" s="7">
        <v>6</v>
      </c>
      <c r="B19" s="8" t="s">
        <v>67</v>
      </c>
      <c r="C19" s="10">
        <f>L19/100*98</f>
        <v>9094.4</v>
      </c>
      <c r="D19" s="57">
        <f>C19/100*139</f>
        <v>12641.216</v>
      </c>
      <c r="E19" s="81">
        <f>C19/100*21</f>
        <v>1909.8240000000001</v>
      </c>
      <c r="F19" s="12"/>
      <c r="G19" s="12">
        <f>C19/100*7</f>
        <v>636.60800000000006</v>
      </c>
      <c r="H19" s="12"/>
      <c r="I19" s="12"/>
      <c r="J19" s="19">
        <f>C19/100*7</f>
        <v>636.60800000000006</v>
      </c>
      <c r="K19" s="19">
        <f>C19/100*0.9</f>
        <v>81.849600000000009</v>
      </c>
      <c r="L19" s="13">
        <v>9280</v>
      </c>
      <c r="M19" s="37">
        <v>130</v>
      </c>
      <c r="N19" s="34">
        <f t="shared" si="1"/>
        <v>1206400</v>
      </c>
      <c r="O19" s="3"/>
      <c r="P19" s="3"/>
    </row>
    <row r="20" spans="1:20" ht="22.15" customHeight="1" x14ac:dyDescent="0.25">
      <c r="A20" s="7">
        <v>7</v>
      </c>
      <c r="B20" s="4" t="s">
        <v>3</v>
      </c>
      <c r="C20" s="10">
        <f>L20/100*48</f>
        <v>4459.2000000000007</v>
      </c>
      <c r="D20" s="11">
        <f>C20/100*199</f>
        <v>8873.8080000000009</v>
      </c>
      <c r="E20" s="12">
        <f>C20/100*22.3</f>
        <v>994.40160000000014</v>
      </c>
      <c r="F20" s="12"/>
      <c r="G20" s="12">
        <f>C20/100*13.1</f>
        <v>584.15520000000004</v>
      </c>
      <c r="H20" s="12"/>
      <c r="I20" s="12"/>
      <c r="J20" s="19">
        <f>C20/100*12</f>
        <v>535.10400000000004</v>
      </c>
      <c r="K20" s="19">
        <f>C20/100*0.15</f>
        <v>6.6888000000000005</v>
      </c>
      <c r="L20" s="13">
        <v>9290</v>
      </c>
      <c r="M20" s="13">
        <v>84</v>
      </c>
      <c r="N20" s="10">
        <f t="shared" si="1"/>
        <v>780360</v>
      </c>
      <c r="O20" s="3"/>
      <c r="P20" s="3"/>
      <c r="Q20" s="2"/>
      <c r="R20" s="2"/>
      <c r="S20" s="3"/>
    </row>
    <row r="21" spans="1:20" ht="20.45" customHeight="1" x14ac:dyDescent="0.25">
      <c r="A21" s="7">
        <v>8</v>
      </c>
      <c r="B21" s="4" t="s">
        <v>117</v>
      </c>
      <c r="C21" s="10">
        <f>L21/100*100</f>
        <v>210</v>
      </c>
      <c r="D21" s="11">
        <f>C21/100*247</f>
        <v>518.70000000000005</v>
      </c>
      <c r="E21" s="14"/>
      <c r="F21" s="14">
        <f>C21/100*17.5</f>
        <v>36.75</v>
      </c>
      <c r="G21" s="14"/>
      <c r="H21" s="14">
        <f>C21/100*1.6</f>
        <v>3.3600000000000003</v>
      </c>
      <c r="I21" s="14">
        <f>C21/100*39.2</f>
        <v>82.320000000000007</v>
      </c>
      <c r="J21" s="18"/>
      <c r="K21" s="18"/>
      <c r="L21" s="143">
        <v>210</v>
      </c>
      <c r="M21" s="17">
        <v>50</v>
      </c>
      <c r="N21" s="101">
        <f t="shared" si="1"/>
        <v>10500</v>
      </c>
      <c r="O21" s="3"/>
      <c r="Q21" s="2"/>
      <c r="R21" s="2"/>
      <c r="S21" s="3"/>
      <c r="T21" s="2"/>
    </row>
    <row r="22" spans="1:20" ht="22.15" customHeight="1" x14ac:dyDescent="0.25">
      <c r="A22" s="7">
        <v>9</v>
      </c>
      <c r="B22" s="4" t="s">
        <v>80</v>
      </c>
      <c r="C22" s="10">
        <f>L22/100*78</f>
        <v>3159</v>
      </c>
      <c r="D22" s="11">
        <f>C22/100*37</f>
        <v>1168.83</v>
      </c>
      <c r="E22" s="14"/>
      <c r="F22" s="14">
        <f>C22/100*2.8</f>
        <v>88.451999999999998</v>
      </c>
      <c r="G22" s="14"/>
      <c r="H22" s="14">
        <f>C22/100*0.1</f>
        <v>3.1590000000000003</v>
      </c>
      <c r="I22" s="14">
        <f>C22/100*6.2</f>
        <v>195.858</v>
      </c>
      <c r="J22" s="55">
        <f>C22/100*46</f>
        <v>1453.14</v>
      </c>
      <c r="K22" s="18">
        <f>C22/100*0.06</f>
        <v>1.8954</v>
      </c>
      <c r="L22" s="143">
        <v>4050</v>
      </c>
      <c r="M22" s="13">
        <v>22</v>
      </c>
      <c r="N22" s="10">
        <f t="shared" si="1"/>
        <v>89100</v>
      </c>
      <c r="O22" s="3"/>
      <c r="Q22" s="2"/>
      <c r="R22" s="2"/>
      <c r="S22" s="3"/>
    </row>
    <row r="23" spans="1:20" ht="22.15" customHeight="1" x14ac:dyDescent="0.25">
      <c r="A23" s="7">
        <v>10</v>
      </c>
      <c r="B23" s="4" t="s">
        <v>168</v>
      </c>
      <c r="C23" s="10">
        <f>L23/100*78</f>
        <v>4726.8</v>
      </c>
      <c r="D23" s="11">
        <f>C23/100*37</f>
        <v>1748.9159999999999</v>
      </c>
      <c r="E23" s="12"/>
      <c r="F23" s="12">
        <f>C23/100*2.8</f>
        <v>132.35040000000001</v>
      </c>
      <c r="G23" s="12"/>
      <c r="H23" s="12">
        <f>C23/100*0.1</f>
        <v>4.7267999999999999</v>
      </c>
      <c r="I23" s="12">
        <f>C23/100*6.2</f>
        <v>293.0616</v>
      </c>
      <c r="J23" s="56">
        <f>C23/100*46</f>
        <v>2174.328</v>
      </c>
      <c r="K23" s="19">
        <f>C23/100*0.06</f>
        <v>2.8360799999999999</v>
      </c>
      <c r="L23" s="13">
        <v>6060</v>
      </c>
      <c r="M23" s="17">
        <v>24</v>
      </c>
      <c r="N23" s="10">
        <f t="shared" si="1"/>
        <v>145440</v>
      </c>
      <c r="O23" s="3"/>
      <c r="Q23" s="2"/>
      <c r="R23" s="2"/>
      <c r="S23" s="3"/>
    </row>
    <row r="24" spans="1:20" ht="22.15" customHeight="1" x14ac:dyDescent="0.25">
      <c r="A24" s="7">
        <v>11</v>
      </c>
      <c r="B24" s="4" t="s">
        <v>5</v>
      </c>
      <c r="C24" s="10">
        <f>L24/100*98.5</f>
        <v>1989.6999999999998</v>
      </c>
      <c r="D24" s="11">
        <f>C24/100*39</f>
        <v>775.98299999999995</v>
      </c>
      <c r="E24" s="14"/>
      <c r="F24" s="14">
        <f>C24/100*1.5</f>
        <v>29.845499999999998</v>
      </c>
      <c r="G24" s="14"/>
      <c r="H24" s="14">
        <f>C24/100*0.2</f>
        <v>3.9794</v>
      </c>
      <c r="I24" s="14">
        <f>C24/100*7.8</f>
        <v>155.19659999999999</v>
      </c>
      <c r="J24" s="18">
        <f>C24/100*43</f>
        <v>855.57099999999991</v>
      </c>
      <c r="K24" s="18">
        <f>C24/100*0.06</f>
        <v>1.1938199999999999</v>
      </c>
      <c r="L24" s="143">
        <v>2020</v>
      </c>
      <c r="M24" s="13">
        <v>17</v>
      </c>
      <c r="N24" s="10">
        <f t="shared" si="1"/>
        <v>34340</v>
      </c>
      <c r="O24" s="3"/>
      <c r="Q24" s="2"/>
      <c r="R24" s="2"/>
      <c r="S24" s="3"/>
    </row>
    <row r="25" spans="1:20" ht="22.15" customHeight="1" x14ac:dyDescent="0.25">
      <c r="A25" s="7">
        <v>12</v>
      </c>
      <c r="B25" s="8" t="s">
        <v>111</v>
      </c>
      <c r="C25" s="10"/>
      <c r="D25" s="11"/>
      <c r="E25" s="12"/>
      <c r="F25" s="12"/>
      <c r="G25" s="12"/>
      <c r="H25" s="12"/>
      <c r="I25" s="12"/>
      <c r="J25" s="12"/>
      <c r="K25" s="12"/>
      <c r="L25" s="13"/>
      <c r="M25" s="13"/>
      <c r="N25" s="10">
        <v>15750</v>
      </c>
      <c r="O25" s="3"/>
    </row>
    <row r="26" spans="1:20" ht="22.15" customHeight="1" x14ac:dyDescent="0.25">
      <c r="A26" s="20" t="s">
        <v>97</v>
      </c>
      <c r="B26" s="21"/>
      <c r="C26" s="22"/>
      <c r="D26" s="84">
        <f>SUM(D14:D25)</f>
        <v>94015.343000000008</v>
      </c>
      <c r="E26" s="24"/>
      <c r="F26" s="24"/>
      <c r="G26" s="24"/>
      <c r="H26" s="24"/>
      <c r="I26" s="24"/>
      <c r="J26" s="24"/>
      <c r="K26" s="24"/>
      <c r="L26" s="25"/>
      <c r="M26" s="25"/>
      <c r="N26" s="215">
        <f>SUM(N14:N25)</f>
        <v>2732230</v>
      </c>
      <c r="O26" s="3"/>
    </row>
    <row r="27" spans="1:20" ht="22.15" customHeight="1" x14ac:dyDescent="0.25">
      <c r="A27" s="20" t="s">
        <v>6</v>
      </c>
      <c r="B27" s="21"/>
      <c r="C27" s="22"/>
      <c r="D27" s="23">
        <f>D26/C8</f>
        <v>465.42249009900996</v>
      </c>
      <c r="E27" s="24"/>
      <c r="F27" s="24"/>
      <c r="G27" s="24"/>
      <c r="H27" s="24"/>
      <c r="I27" s="24"/>
      <c r="J27" s="24"/>
      <c r="K27" s="24"/>
      <c r="L27" s="25"/>
      <c r="M27" s="25"/>
      <c r="N27" s="216"/>
      <c r="O27" s="3"/>
    </row>
    <row r="28" spans="1:20" ht="22.15" customHeight="1" x14ac:dyDescent="0.25">
      <c r="A28" s="307" t="s">
        <v>50</v>
      </c>
      <c r="B28" s="218"/>
      <c r="C28" s="145" t="s">
        <v>132</v>
      </c>
      <c r="D28" s="26" t="s">
        <v>38</v>
      </c>
      <c r="E28" s="24"/>
      <c r="F28" s="24"/>
      <c r="G28" s="24"/>
      <c r="H28" s="24"/>
      <c r="I28" s="24"/>
      <c r="J28" s="24"/>
      <c r="K28" s="24"/>
      <c r="L28" s="25"/>
      <c r="M28" s="25"/>
      <c r="N28" s="27"/>
      <c r="O28" s="3"/>
    </row>
    <row r="29" spans="1:20" ht="22.15" customHeight="1" x14ac:dyDescent="0.25">
      <c r="A29" s="219"/>
      <c r="B29" s="220"/>
      <c r="C29" s="54" t="s">
        <v>58</v>
      </c>
      <c r="D29" s="26">
        <f>D27*100/1320</f>
        <v>35.259279552955299</v>
      </c>
      <c r="E29" s="24"/>
      <c r="F29" s="24"/>
      <c r="G29" s="24"/>
      <c r="H29" s="24"/>
      <c r="I29" s="24"/>
      <c r="J29" s="24"/>
      <c r="K29" s="24"/>
      <c r="L29" s="25"/>
      <c r="M29" s="25"/>
      <c r="N29" s="27"/>
      <c r="O29" s="3"/>
    </row>
    <row r="30" spans="1:20" ht="22.15" customHeight="1" x14ac:dyDescent="0.3">
      <c r="A30" s="245" t="s">
        <v>39</v>
      </c>
      <c r="B30" s="245"/>
      <c r="C30" s="39"/>
      <c r="D30" s="40"/>
      <c r="E30" s="41"/>
      <c r="F30" s="41"/>
      <c r="G30" s="41"/>
      <c r="H30" s="41"/>
      <c r="I30" s="41"/>
      <c r="J30" s="41"/>
      <c r="K30" s="41"/>
      <c r="L30" s="42"/>
      <c r="M30" s="42"/>
      <c r="N30" s="43"/>
      <c r="O30" s="3"/>
    </row>
    <row r="31" spans="1:20" ht="22.15" customHeight="1" x14ac:dyDescent="0.25">
      <c r="A31" s="7">
        <v>1</v>
      </c>
      <c r="B31" s="8" t="s">
        <v>2</v>
      </c>
      <c r="C31" s="10">
        <f>L31/100*100</f>
        <v>240</v>
      </c>
      <c r="D31" s="11">
        <f>C31/100*60</f>
        <v>144</v>
      </c>
      <c r="E31" s="12">
        <f>C31/100*15</f>
        <v>36</v>
      </c>
      <c r="F31" s="12"/>
      <c r="G31" s="12"/>
      <c r="H31" s="12"/>
      <c r="I31" s="12"/>
      <c r="J31" s="19">
        <f>C31/100*387</f>
        <v>928.8</v>
      </c>
      <c r="K31" s="19">
        <f>C31/100*0.09</f>
        <v>0.216</v>
      </c>
      <c r="L31" s="13">
        <v>240</v>
      </c>
      <c r="M31" s="17">
        <v>20</v>
      </c>
      <c r="N31" s="10">
        <f>L31*M31</f>
        <v>4800</v>
      </c>
      <c r="O31" s="3"/>
    </row>
    <row r="32" spans="1:20" ht="19.899999999999999" customHeight="1" x14ac:dyDescent="0.25">
      <c r="A32" s="7">
        <v>2</v>
      </c>
      <c r="B32" s="8" t="s">
        <v>121</v>
      </c>
      <c r="C32" s="10">
        <f>L32/100*100</f>
        <v>1700</v>
      </c>
      <c r="D32" s="57">
        <f>C32/100*899</f>
        <v>15283</v>
      </c>
      <c r="E32" s="12"/>
      <c r="F32" s="12"/>
      <c r="G32" s="81">
        <f>C32/100*100</f>
        <v>1700</v>
      </c>
      <c r="H32" s="12"/>
      <c r="I32" s="12"/>
      <c r="J32" s="19"/>
      <c r="K32" s="19"/>
      <c r="L32" s="99">
        <v>1700</v>
      </c>
      <c r="M32" s="98">
        <v>68</v>
      </c>
      <c r="N32" s="101">
        <f t="shared" ref="N32" si="2">L32*M32</f>
        <v>115600</v>
      </c>
      <c r="O32" s="3"/>
    </row>
    <row r="33" spans="1:20" ht="22.15" customHeight="1" x14ac:dyDescent="0.25">
      <c r="A33" s="7">
        <v>3</v>
      </c>
      <c r="B33" s="4" t="s">
        <v>122</v>
      </c>
      <c r="C33" s="10">
        <f>L33/100*100</f>
        <v>4850</v>
      </c>
      <c r="D33" s="57">
        <f>C33/100*295</f>
        <v>14307.5</v>
      </c>
      <c r="E33" s="12"/>
      <c r="F33" s="12">
        <f>C33/100*6</f>
        <v>291</v>
      </c>
      <c r="G33" s="12"/>
      <c r="H33" s="12">
        <f>C33/100*0.8</f>
        <v>38.800000000000004</v>
      </c>
      <c r="I33" s="81">
        <f>C33/100*28.8</f>
        <v>1396.8</v>
      </c>
      <c r="J33" s="19"/>
      <c r="K33" s="19"/>
      <c r="L33" s="99">
        <v>4850</v>
      </c>
      <c r="M33" s="38">
        <v>32</v>
      </c>
      <c r="N33" s="10">
        <f>L33*M33</f>
        <v>155200</v>
      </c>
      <c r="O33" s="3"/>
    </row>
    <row r="34" spans="1:20" ht="22.15" customHeight="1" x14ac:dyDescent="0.25">
      <c r="A34" s="7">
        <v>4</v>
      </c>
      <c r="B34" s="8" t="s">
        <v>123</v>
      </c>
      <c r="C34" s="10">
        <f>L34/100*31</f>
        <v>871.1</v>
      </c>
      <c r="D34" s="11">
        <f>C34/100*87</f>
        <v>757.85699999999997</v>
      </c>
      <c r="E34" s="12">
        <f>C34/100*12.3</f>
        <v>107.14530000000001</v>
      </c>
      <c r="F34" s="12"/>
      <c r="G34" s="12">
        <f>C34/100*3.3</f>
        <v>28.746299999999998</v>
      </c>
      <c r="H34" s="12"/>
      <c r="I34" s="12">
        <f>C34/100*2</f>
        <v>17.422000000000001</v>
      </c>
      <c r="J34" s="56">
        <f>C34/100*120</f>
        <v>1045.32</v>
      </c>
      <c r="K34" s="19">
        <f>C34/100*0.01</f>
        <v>8.7110000000000007E-2</v>
      </c>
      <c r="L34" s="13">
        <v>2810</v>
      </c>
      <c r="M34" s="91">
        <v>160</v>
      </c>
      <c r="N34" s="10">
        <f t="shared" ref="N34:N37" si="3">L34*M34</f>
        <v>449600</v>
      </c>
      <c r="O34" s="3"/>
    </row>
    <row r="35" spans="1:20" ht="20.45" customHeight="1" x14ac:dyDescent="0.25">
      <c r="A35" s="7">
        <v>5</v>
      </c>
      <c r="B35" s="4" t="s">
        <v>117</v>
      </c>
      <c r="C35" s="10">
        <f>L35/100*100</f>
        <v>130</v>
      </c>
      <c r="D35" s="11">
        <f>C35/100*247</f>
        <v>321.10000000000002</v>
      </c>
      <c r="E35" s="14"/>
      <c r="F35" s="14">
        <f>C35/100*17.5</f>
        <v>22.75</v>
      </c>
      <c r="G35" s="14"/>
      <c r="H35" s="14">
        <f>C35/100*1.6</f>
        <v>2.08</v>
      </c>
      <c r="I35" s="14">
        <f>C35/100*39.2</f>
        <v>50.960000000000008</v>
      </c>
      <c r="J35" s="18"/>
      <c r="K35" s="18"/>
      <c r="L35" s="143">
        <v>130</v>
      </c>
      <c r="M35" s="17">
        <v>50</v>
      </c>
      <c r="N35" s="101">
        <f t="shared" si="3"/>
        <v>6500</v>
      </c>
      <c r="O35" s="3"/>
      <c r="Q35" s="2"/>
      <c r="R35" s="2"/>
      <c r="S35" s="3"/>
      <c r="T35" s="2"/>
    </row>
    <row r="36" spans="1:20" ht="20.45" customHeight="1" x14ac:dyDescent="0.25">
      <c r="A36" s="7">
        <v>6</v>
      </c>
      <c r="B36" s="4" t="s">
        <v>159</v>
      </c>
      <c r="C36" s="10">
        <f>L36/100*65</f>
        <v>2626</v>
      </c>
      <c r="D36" s="11">
        <f>C36/100*14</f>
        <v>367.64000000000004</v>
      </c>
      <c r="E36" s="12"/>
      <c r="F36" s="12">
        <f>C36/100*1.6</f>
        <v>42.016000000000005</v>
      </c>
      <c r="G36" s="12"/>
      <c r="H36" s="12"/>
      <c r="I36" s="12">
        <f>C36/100*1.9</f>
        <v>49.893999999999998</v>
      </c>
      <c r="J36" s="81">
        <f>C36/100*63</f>
        <v>1654.38</v>
      </c>
      <c r="K36" s="12">
        <f>C36/100*0.01</f>
        <v>0.2626</v>
      </c>
      <c r="L36" s="99">
        <v>4040</v>
      </c>
      <c r="M36" s="17">
        <v>18</v>
      </c>
      <c r="N36" s="10">
        <f t="shared" si="3"/>
        <v>72720</v>
      </c>
      <c r="O36" s="3"/>
    </row>
    <row r="37" spans="1:20" ht="21.6" customHeight="1" x14ac:dyDescent="0.25">
      <c r="A37" s="7">
        <v>7</v>
      </c>
      <c r="B37" s="125" t="s">
        <v>130</v>
      </c>
      <c r="C37" s="10">
        <f>L37/100*100</f>
        <v>3440</v>
      </c>
      <c r="D37" s="57">
        <f>C37/100*487</f>
        <v>16752.8</v>
      </c>
      <c r="E37" s="14"/>
      <c r="F37" s="14">
        <f>C37/100*19.5</f>
        <v>670.8</v>
      </c>
      <c r="G37" s="14"/>
      <c r="H37" s="14">
        <f>C37/100*23.2</f>
        <v>798.07999999999993</v>
      </c>
      <c r="I37" s="111">
        <f>C37/100*46</f>
        <v>1582.3999999999999</v>
      </c>
      <c r="J37" s="81">
        <f>C37/100*680</f>
        <v>23392</v>
      </c>
      <c r="K37" s="12">
        <f>C37/100*0.55</f>
        <v>18.920000000000002</v>
      </c>
      <c r="L37" s="143">
        <v>3440</v>
      </c>
      <c r="M37" s="91">
        <v>260</v>
      </c>
      <c r="N37" s="10">
        <f t="shared" si="3"/>
        <v>894400</v>
      </c>
      <c r="O37" s="3"/>
      <c r="P37" s="2"/>
    </row>
    <row r="38" spans="1:20" ht="22.15" customHeight="1" x14ac:dyDescent="0.25">
      <c r="A38" s="69">
        <v>8</v>
      </c>
      <c r="B38" s="70" t="s">
        <v>111</v>
      </c>
      <c r="C38" s="71"/>
      <c r="D38" s="72"/>
      <c r="E38" s="73"/>
      <c r="F38" s="73"/>
      <c r="G38" s="73"/>
      <c r="H38" s="73"/>
      <c r="I38" s="73"/>
      <c r="J38" s="73"/>
      <c r="K38" s="73"/>
      <c r="L38" s="74"/>
      <c r="M38" s="74"/>
      <c r="N38" s="71">
        <v>13000</v>
      </c>
      <c r="O38" s="3"/>
    </row>
    <row r="39" spans="1:20" ht="21" customHeight="1" x14ac:dyDescent="0.25">
      <c r="A39" s="233" t="s">
        <v>0</v>
      </c>
      <c r="B39" s="238" t="s">
        <v>19</v>
      </c>
      <c r="C39" s="238" t="s">
        <v>8</v>
      </c>
      <c r="D39" s="238" t="s">
        <v>9</v>
      </c>
      <c r="E39" s="318" t="s">
        <v>11</v>
      </c>
      <c r="F39" s="319"/>
      <c r="G39" s="318" t="s">
        <v>13</v>
      </c>
      <c r="H39" s="319"/>
      <c r="I39" s="233" t="s">
        <v>16</v>
      </c>
      <c r="J39" s="233" t="s">
        <v>32</v>
      </c>
      <c r="K39" s="233" t="s">
        <v>33</v>
      </c>
      <c r="L39" s="233" t="s">
        <v>17</v>
      </c>
      <c r="M39" s="233" t="s">
        <v>34</v>
      </c>
      <c r="N39" s="233" t="s">
        <v>18</v>
      </c>
      <c r="O39" s="140"/>
    </row>
    <row r="40" spans="1:20" ht="21" customHeight="1" x14ac:dyDescent="0.25">
      <c r="A40" s="236"/>
      <c r="B40" s="239"/>
      <c r="C40" s="239"/>
      <c r="D40" s="239"/>
      <c r="E40" s="320"/>
      <c r="F40" s="321"/>
      <c r="G40" s="320"/>
      <c r="H40" s="321"/>
      <c r="I40" s="234"/>
      <c r="J40" s="234"/>
      <c r="K40" s="234"/>
      <c r="L40" s="234"/>
      <c r="M40" s="234"/>
      <c r="N40" s="236"/>
      <c r="O40" s="132"/>
    </row>
    <row r="41" spans="1:20" ht="21" customHeight="1" x14ac:dyDescent="0.25">
      <c r="A41" s="236"/>
      <c r="B41" s="239"/>
      <c r="C41" s="239"/>
      <c r="D41" s="239"/>
      <c r="E41" s="233" t="s">
        <v>10</v>
      </c>
      <c r="F41" s="233" t="s">
        <v>12</v>
      </c>
      <c r="G41" s="233" t="s">
        <v>14</v>
      </c>
      <c r="H41" s="233" t="s">
        <v>15</v>
      </c>
      <c r="I41" s="234"/>
      <c r="J41" s="234"/>
      <c r="K41" s="234"/>
      <c r="L41" s="234"/>
      <c r="M41" s="234"/>
      <c r="N41" s="236"/>
      <c r="O41" s="132"/>
    </row>
    <row r="42" spans="1:20" ht="21" customHeight="1" x14ac:dyDescent="0.25">
      <c r="A42" s="237"/>
      <c r="B42" s="240"/>
      <c r="C42" s="240"/>
      <c r="D42" s="240"/>
      <c r="E42" s="235"/>
      <c r="F42" s="235"/>
      <c r="G42" s="235"/>
      <c r="H42" s="235"/>
      <c r="I42" s="235"/>
      <c r="J42" s="235"/>
      <c r="K42" s="235"/>
      <c r="L42" s="235"/>
      <c r="M42" s="235"/>
      <c r="N42" s="237"/>
      <c r="O42" s="132"/>
    </row>
    <row r="43" spans="1:20" ht="21" customHeight="1" x14ac:dyDescent="0.25">
      <c r="A43" s="20" t="s">
        <v>98</v>
      </c>
      <c r="B43" s="21"/>
      <c r="C43" s="22"/>
      <c r="D43" s="84">
        <f>SUM(D31:D38)</f>
        <v>47933.896999999997</v>
      </c>
      <c r="E43" s="5"/>
      <c r="F43" s="5"/>
      <c r="G43" s="5"/>
      <c r="H43" s="5"/>
      <c r="I43" s="5"/>
      <c r="J43" s="5"/>
      <c r="K43" s="5"/>
      <c r="L43" s="28"/>
      <c r="M43" s="28"/>
      <c r="N43" s="314">
        <f>SUM(N31:N38)</f>
        <v>1711820</v>
      </c>
      <c r="O43" s="3"/>
    </row>
    <row r="44" spans="1:20" ht="21" customHeight="1" x14ac:dyDescent="0.25">
      <c r="A44" s="20" t="s">
        <v>7</v>
      </c>
      <c r="B44" s="21"/>
      <c r="C44" s="29"/>
      <c r="D44" s="30">
        <f>D43/C8</f>
        <v>237.2965198019802</v>
      </c>
      <c r="E44" s="30"/>
      <c r="F44" s="30"/>
      <c r="G44" s="30"/>
      <c r="H44" s="30"/>
      <c r="I44" s="30"/>
      <c r="J44" s="30"/>
      <c r="K44" s="30"/>
      <c r="L44" s="28"/>
      <c r="M44" s="28"/>
      <c r="N44" s="315"/>
      <c r="O44" s="3"/>
    </row>
    <row r="45" spans="1:20" ht="21" customHeight="1" x14ac:dyDescent="0.25">
      <c r="A45" s="307" t="s">
        <v>51</v>
      </c>
      <c r="B45" s="218"/>
      <c r="C45" s="145" t="s">
        <v>132</v>
      </c>
      <c r="D45" s="26" t="s">
        <v>41</v>
      </c>
      <c r="E45" s="30"/>
      <c r="F45" s="30"/>
      <c r="G45" s="30"/>
      <c r="H45" s="30"/>
      <c r="I45" s="30"/>
      <c r="J45" s="31"/>
      <c r="K45" s="31"/>
      <c r="L45" s="28"/>
      <c r="M45" s="28"/>
      <c r="N45" s="137"/>
      <c r="O45" s="3"/>
    </row>
    <row r="46" spans="1:20" ht="21" customHeight="1" x14ac:dyDescent="0.25">
      <c r="A46" s="219"/>
      <c r="B46" s="220"/>
      <c r="C46" s="54" t="s">
        <v>58</v>
      </c>
      <c r="D46" s="26">
        <f>D44*100/1320</f>
        <v>17.977009075907592</v>
      </c>
      <c r="E46" s="30"/>
      <c r="F46" s="30"/>
      <c r="G46" s="30"/>
      <c r="H46" s="30"/>
      <c r="I46" s="30"/>
      <c r="J46" s="31"/>
      <c r="K46" s="31"/>
      <c r="L46" s="28"/>
      <c r="M46" s="28"/>
      <c r="N46" s="137"/>
      <c r="O46" s="3"/>
    </row>
    <row r="47" spans="1:20" ht="21" customHeight="1" x14ac:dyDescent="0.25">
      <c r="A47" s="221" t="s">
        <v>99</v>
      </c>
      <c r="B47" s="222"/>
      <c r="C47" s="225"/>
      <c r="D47" s="276">
        <f>D26+D43</f>
        <v>141949.24</v>
      </c>
      <c r="E47" s="85">
        <f>SUM(E14:E38)</f>
        <v>3087.8709000000003</v>
      </c>
      <c r="F47" s="85">
        <f t="shared" ref="F47:H47" si="4">SUM(F14:F38)</f>
        <v>2937.3888999999999</v>
      </c>
      <c r="G47" s="85">
        <f t="shared" si="4"/>
        <v>2949.5095000000001</v>
      </c>
      <c r="H47" s="85">
        <f t="shared" si="4"/>
        <v>1267.0311999999999</v>
      </c>
      <c r="I47" s="231">
        <f>SUM(I14:I38)</f>
        <v>19372.06985</v>
      </c>
      <c r="J47" s="231">
        <f>SUM(J14:J38)</f>
        <v>40353.640999999996</v>
      </c>
      <c r="K47" s="229">
        <f>SUM(K14:K38)</f>
        <v>134.07301000000001</v>
      </c>
      <c r="L47" s="193"/>
      <c r="M47" s="193"/>
      <c r="N47" s="312">
        <f>N26+N43</f>
        <v>4444050</v>
      </c>
    </row>
    <row r="48" spans="1:20" ht="21" customHeight="1" x14ac:dyDescent="0.25">
      <c r="A48" s="223"/>
      <c r="B48" s="224"/>
      <c r="C48" s="226"/>
      <c r="D48" s="277"/>
      <c r="E48" s="195">
        <f>E47+F47</f>
        <v>6025.2597999999998</v>
      </c>
      <c r="F48" s="196"/>
      <c r="G48" s="195">
        <f>G47+H47</f>
        <v>4216.5406999999996</v>
      </c>
      <c r="H48" s="196"/>
      <c r="I48" s="232"/>
      <c r="J48" s="232"/>
      <c r="K48" s="230"/>
      <c r="L48" s="193"/>
      <c r="M48" s="193"/>
      <c r="N48" s="312"/>
    </row>
    <row r="49" spans="1:22" ht="21" customHeight="1" x14ac:dyDescent="0.25">
      <c r="A49" s="268" t="s">
        <v>75</v>
      </c>
      <c r="B49" s="269"/>
      <c r="C49" s="270"/>
      <c r="D49" s="100">
        <f>D47/C8</f>
        <v>702.71900990099005</v>
      </c>
      <c r="E49" s="156">
        <f>E47/C8</f>
        <v>15.286489603960398</v>
      </c>
      <c r="F49" s="157">
        <f>F47/C8</f>
        <v>14.541529207920792</v>
      </c>
      <c r="G49" s="156">
        <f>G47/C8</f>
        <v>14.601532178217822</v>
      </c>
      <c r="H49" s="158">
        <f>H47/C8</f>
        <v>6.2724316831683167</v>
      </c>
      <c r="I49" s="300">
        <f>I47/C8</f>
        <v>95.901335891089104</v>
      </c>
      <c r="J49" s="300">
        <f>J47/C8</f>
        <v>199.77049999999997</v>
      </c>
      <c r="K49" s="206">
        <f>K47/C8</f>
        <v>0.66372777227722779</v>
      </c>
      <c r="L49" s="193"/>
      <c r="M49" s="193"/>
      <c r="N49" s="312"/>
    </row>
    <row r="50" spans="1:22" ht="21" customHeight="1" x14ac:dyDescent="0.25">
      <c r="A50" s="271"/>
      <c r="B50" s="272"/>
      <c r="C50" s="273"/>
      <c r="D50" s="88"/>
      <c r="E50" s="324">
        <f>E49+F49</f>
        <v>29.82801881188119</v>
      </c>
      <c r="F50" s="325"/>
      <c r="G50" s="324">
        <f>G49+H49</f>
        <v>20.873963861386137</v>
      </c>
      <c r="H50" s="325"/>
      <c r="I50" s="209"/>
      <c r="J50" s="209"/>
      <c r="K50" s="207"/>
      <c r="L50" s="193"/>
      <c r="M50" s="193"/>
      <c r="N50" s="312"/>
    </row>
    <row r="51" spans="1:22" ht="21" customHeight="1" x14ac:dyDescent="0.25">
      <c r="A51" s="211" t="s">
        <v>76</v>
      </c>
      <c r="B51" s="212"/>
      <c r="C51" s="213"/>
      <c r="D51" s="136" t="s">
        <v>27</v>
      </c>
      <c r="E51" s="184" t="s">
        <v>21</v>
      </c>
      <c r="F51" s="184"/>
      <c r="G51" s="184" t="s">
        <v>22</v>
      </c>
      <c r="H51" s="184"/>
      <c r="I51" s="136" t="s">
        <v>23</v>
      </c>
      <c r="J51" s="159">
        <v>600</v>
      </c>
      <c r="K51" s="159">
        <v>0.74</v>
      </c>
      <c r="L51" s="193"/>
      <c r="M51" s="193"/>
      <c r="N51" s="312"/>
      <c r="O51" s="147"/>
      <c r="P51" s="106"/>
      <c r="Q51" s="188"/>
      <c r="R51" s="188"/>
      <c r="S51" s="188"/>
      <c r="T51" s="188"/>
      <c r="U51" s="189"/>
      <c r="V51" s="189"/>
    </row>
    <row r="52" spans="1:22" ht="21" customHeight="1" x14ac:dyDescent="0.25">
      <c r="A52" s="180" t="s">
        <v>69</v>
      </c>
      <c r="B52" s="185"/>
      <c r="C52" s="181"/>
      <c r="D52" s="16"/>
      <c r="E52" s="186">
        <f>E50*4.1</f>
        <v>122.29487712871287</v>
      </c>
      <c r="F52" s="187"/>
      <c r="G52" s="186">
        <f>G50*9</f>
        <v>187.86567475247523</v>
      </c>
      <c r="H52" s="187"/>
      <c r="I52" s="60">
        <f>I49*4.1</f>
        <v>393.19547715346528</v>
      </c>
      <c r="J52" s="197"/>
      <c r="K52" s="197"/>
      <c r="L52" s="193"/>
      <c r="M52" s="193"/>
      <c r="N52" s="312"/>
      <c r="O52" s="147"/>
      <c r="P52" s="151"/>
      <c r="Q52" s="152"/>
      <c r="R52" s="152"/>
      <c r="S52" s="152"/>
      <c r="T52" s="106"/>
      <c r="U52" s="106"/>
      <c r="V52" s="106"/>
    </row>
    <row r="53" spans="1:22" ht="21" customHeight="1" x14ac:dyDescent="0.25">
      <c r="A53" s="176" t="s">
        <v>70</v>
      </c>
      <c r="B53" s="177"/>
      <c r="C53" s="180" t="s">
        <v>58</v>
      </c>
      <c r="D53" s="181"/>
      <c r="E53" s="266">
        <f>E52*100/D49</f>
        <v>17.403097882031634</v>
      </c>
      <c r="F53" s="267"/>
      <c r="G53" s="266">
        <f>G52*100/D49</f>
        <v>26.734110235461635</v>
      </c>
      <c r="H53" s="267"/>
      <c r="I53" s="76">
        <f>I52*100/D49</f>
        <v>55.953442501699897</v>
      </c>
      <c r="J53" s="198"/>
      <c r="K53" s="198"/>
      <c r="L53" s="193"/>
      <c r="M53" s="193"/>
      <c r="N53" s="312"/>
      <c r="O53" s="147"/>
      <c r="P53" s="106"/>
      <c r="Q53" s="153"/>
      <c r="R53" s="106"/>
      <c r="S53" s="106"/>
      <c r="T53" s="106"/>
      <c r="U53" s="106"/>
      <c r="V53" s="106"/>
    </row>
    <row r="54" spans="1:22" ht="21" customHeight="1" x14ac:dyDescent="0.25">
      <c r="A54" s="178"/>
      <c r="B54" s="179"/>
      <c r="C54" s="180" t="s">
        <v>71</v>
      </c>
      <c r="D54" s="181"/>
      <c r="E54" s="180" t="s">
        <v>72</v>
      </c>
      <c r="F54" s="181"/>
      <c r="G54" s="180" t="s">
        <v>73</v>
      </c>
      <c r="H54" s="181"/>
      <c r="I54" s="136" t="s">
        <v>74</v>
      </c>
      <c r="J54" s="199"/>
      <c r="K54" s="199"/>
      <c r="L54" s="193"/>
      <c r="M54" s="193"/>
      <c r="N54" s="312"/>
      <c r="O54" s="147"/>
      <c r="P54" s="2"/>
    </row>
    <row r="55" spans="1:22" ht="21" customHeight="1" x14ac:dyDescent="0.25">
      <c r="A55" s="63"/>
      <c r="B55" s="64"/>
      <c r="C55" s="63"/>
      <c r="D55" s="63"/>
      <c r="E55" s="63"/>
      <c r="F55" s="63"/>
      <c r="G55" s="63"/>
      <c r="H55" s="63"/>
      <c r="I55" s="63"/>
      <c r="J55" s="63"/>
      <c r="K55" s="63"/>
      <c r="L55" s="65"/>
      <c r="M55" s="65"/>
      <c r="N55" s="66"/>
      <c r="O55" s="147"/>
    </row>
    <row r="56" spans="1:22" ht="21" customHeight="1" x14ac:dyDescent="0.25">
      <c r="A56" s="172" t="s">
        <v>100</v>
      </c>
      <c r="B56" s="172"/>
      <c r="C56" s="172"/>
      <c r="D56" s="172"/>
      <c r="E56" s="172"/>
      <c r="F56" s="172"/>
      <c r="G56" s="172"/>
      <c r="H56" s="172"/>
      <c r="I56" s="172"/>
      <c r="J56" s="172"/>
      <c r="K56" s="172"/>
      <c r="L56" s="172"/>
      <c r="M56" s="172"/>
      <c r="N56" s="172"/>
      <c r="O56" s="147"/>
    </row>
    <row r="57" spans="1:22" ht="21" customHeight="1" x14ac:dyDescent="0.25">
      <c r="A57" s="77" t="s">
        <v>101</v>
      </c>
      <c r="B57" s="173" t="s">
        <v>102</v>
      </c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47"/>
    </row>
    <row r="58" spans="1:22" ht="21" customHeight="1" x14ac:dyDescent="0.25">
      <c r="A58" s="78"/>
      <c r="B58" s="174" t="s">
        <v>194</v>
      </c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47"/>
    </row>
    <row r="59" spans="1:22" ht="21" customHeight="1" x14ac:dyDescent="0.25">
      <c r="A59" s="78"/>
      <c r="B59" s="174" t="s">
        <v>195</v>
      </c>
      <c r="C59" s="174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47"/>
    </row>
    <row r="60" spans="1:22" ht="21" customHeight="1" x14ac:dyDescent="0.25">
      <c r="A60" s="78"/>
      <c r="B60" s="174" t="s">
        <v>169</v>
      </c>
      <c r="C60" s="174"/>
      <c r="D60" s="174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47"/>
    </row>
    <row r="61" spans="1:22" ht="21" customHeight="1" x14ac:dyDescent="0.25">
      <c r="A61" s="63"/>
      <c r="B61" s="175" t="s">
        <v>107</v>
      </c>
      <c r="C61" s="175"/>
      <c r="D61" s="175"/>
      <c r="E61" s="175"/>
      <c r="F61" s="175"/>
      <c r="G61" s="175"/>
      <c r="H61" s="175"/>
      <c r="I61" s="175"/>
      <c r="J61" s="175"/>
      <c r="K61" s="175"/>
      <c r="L61" s="175"/>
      <c r="M61" s="175"/>
      <c r="N61" s="175"/>
      <c r="O61" s="147"/>
    </row>
    <row r="62" spans="1:22" ht="21" customHeight="1" x14ac:dyDescent="0.25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79"/>
      <c r="M62" s="79"/>
      <c r="N62" s="80"/>
      <c r="O62" s="147"/>
    </row>
    <row r="63" spans="1:22" ht="21" customHeight="1" x14ac:dyDescent="0.25">
      <c r="A63" s="168" t="s">
        <v>60</v>
      </c>
      <c r="B63" s="168"/>
      <c r="C63" s="168"/>
      <c r="D63" s="168"/>
      <c r="E63" s="148"/>
      <c r="F63" s="148"/>
      <c r="G63" s="148"/>
      <c r="H63" s="148"/>
      <c r="I63" s="148"/>
      <c r="J63" s="169" t="s">
        <v>36</v>
      </c>
      <c r="K63" s="169"/>
      <c r="L63" s="169"/>
      <c r="M63" s="169"/>
      <c r="N63" s="169"/>
      <c r="O63" s="147"/>
    </row>
    <row r="64" spans="1:22" ht="21" customHeight="1" x14ac:dyDescent="0.25">
      <c r="A64" s="132"/>
      <c r="B64" s="132"/>
      <c r="C64" s="132"/>
      <c r="D64" s="148"/>
      <c r="E64" s="148"/>
      <c r="F64" s="148"/>
      <c r="G64" s="148"/>
      <c r="H64" s="149"/>
      <c r="I64" s="149"/>
      <c r="J64" s="149"/>
      <c r="K64" s="149"/>
      <c r="L64" s="149"/>
      <c r="M64" s="149"/>
      <c r="N64" s="149"/>
      <c r="O64" s="147"/>
    </row>
    <row r="65" spans="1:22" ht="21" customHeight="1" x14ac:dyDescent="0.25">
      <c r="A65" s="132"/>
      <c r="B65" s="132"/>
      <c r="C65" s="132"/>
      <c r="D65" s="148"/>
      <c r="E65" s="148"/>
      <c r="F65" s="148"/>
      <c r="G65" s="148"/>
      <c r="H65" s="149"/>
      <c r="I65" s="149"/>
      <c r="J65" s="149"/>
      <c r="K65" s="149"/>
      <c r="L65" s="149"/>
      <c r="M65" s="149"/>
      <c r="N65" s="149"/>
      <c r="O65" s="147"/>
    </row>
    <row r="66" spans="1:22" ht="21" customHeight="1" x14ac:dyDescent="0.25">
      <c r="A66" s="132"/>
      <c r="B66" s="132"/>
      <c r="C66" s="132"/>
      <c r="D66" s="148"/>
      <c r="E66" s="148"/>
      <c r="F66" s="148"/>
      <c r="G66" s="148"/>
      <c r="H66" s="149"/>
      <c r="I66" s="149"/>
      <c r="J66" s="170" t="s">
        <v>103</v>
      </c>
      <c r="K66" s="170"/>
      <c r="L66" s="170"/>
      <c r="M66" s="170"/>
      <c r="N66" s="170"/>
      <c r="O66" s="147"/>
    </row>
    <row r="67" spans="1:22" ht="21" customHeight="1" x14ac:dyDescent="0.25">
      <c r="A67" s="171" t="s">
        <v>84</v>
      </c>
      <c r="B67" s="171"/>
      <c r="C67" s="171"/>
      <c r="D67" s="171"/>
      <c r="E67" s="148"/>
      <c r="F67" s="148"/>
      <c r="G67" s="148"/>
      <c r="H67" s="149"/>
      <c r="I67" s="149"/>
      <c r="O67" s="147"/>
    </row>
    <row r="68" spans="1:22" ht="21" customHeight="1" x14ac:dyDescent="0.25">
      <c r="A68" s="132"/>
      <c r="B68" s="132"/>
      <c r="C68" s="132"/>
      <c r="D68" s="148"/>
      <c r="E68" s="148"/>
      <c r="F68" s="148"/>
      <c r="G68" s="148"/>
      <c r="H68" s="149"/>
      <c r="I68" s="149"/>
      <c r="J68" s="149"/>
      <c r="K68" s="149"/>
      <c r="L68" s="149"/>
      <c r="M68" s="149"/>
      <c r="N68" s="149"/>
      <c r="O68" s="147"/>
      <c r="Q68" s="61"/>
      <c r="R68" s="61"/>
      <c r="S68" s="61"/>
      <c r="T68" s="61"/>
      <c r="U68" s="61"/>
      <c r="V68" s="61"/>
    </row>
    <row r="69" spans="1:22" ht="21" customHeight="1" x14ac:dyDescent="0.25">
      <c r="A69" s="132"/>
      <c r="B69" s="132"/>
      <c r="C69" s="132"/>
      <c r="D69" s="148"/>
      <c r="E69" s="148"/>
      <c r="F69" s="148"/>
      <c r="G69" s="148"/>
      <c r="H69" s="149"/>
      <c r="I69" s="149"/>
      <c r="J69" s="170" t="s">
        <v>114</v>
      </c>
      <c r="K69" s="170"/>
      <c r="L69" s="170"/>
      <c r="M69" s="170"/>
      <c r="N69" s="170"/>
      <c r="O69" s="147"/>
      <c r="Q69" s="61"/>
      <c r="R69" s="61"/>
      <c r="S69" s="61"/>
      <c r="T69" s="61"/>
      <c r="U69" s="61"/>
      <c r="V69" s="61"/>
    </row>
    <row r="70" spans="1:22" ht="21" customHeight="1" x14ac:dyDescent="0.25">
      <c r="A70" s="132"/>
      <c r="B70" s="132"/>
      <c r="C70" s="132"/>
      <c r="D70" s="148"/>
      <c r="E70" s="148"/>
      <c r="F70" s="148"/>
      <c r="G70" s="148"/>
      <c r="H70" s="149"/>
      <c r="I70" s="149"/>
      <c r="J70" s="149"/>
      <c r="K70" s="149"/>
      <c r="L70" s="149"/>
      <c r="M70" s="149"/>
      <c r="N70" s="149"/>
      <c r="O70" s="147"/>
      <c r="Q70" s="61"/>
      <c r="R70" s="61"/>
      <c r="S70" s="61"/>
      <c r="T70" s="61"/>
      <c r="U70" s="61"/>
      <c r="V70" s="61"/>
    </row>
    <row r="71" spans="1:22" ht="21" customHeight="1" x14ac:dyDescent="0.25">
      <c r="A71" s="132"/>
      <c r="B71" s="132"/>
      <c r="C71" s="132"/>
      <c r="D71" s="148"/>
      <c r="E71" s="148"/>
      <c r="F71" s="148"/>
      <c r="G71" s="148"/>
      <c r="H71" s="149"/>
      <c r="I71" s="149"/>
      <c r="J71" s="149"/>
      <c r="K71" s="149"/>
      <c r="L71" s="149"/>
      <c r="M71" s="149"/>
      <c r="N71" s="149"/>
      <c r="O71" s="147"/>
      <c r="Q71" s="61"/>
      <c r="R71" s="61"/>
      <c r="S71" s="61"/>
      <c r="T71" s="61"/>
      <c r="U71" s="61"/>
      <c r="V71" s="61"/>
    </row>
    <row r="72" spans="1:22" ht="21" customHeight="1" x14ac:dyDescent="0.25">
      <c r="A72" s="132"/>
      <c r="B72" s="132"/>
      <c r="C72" s="132"/>
      <c r="D72" s="148"/>
      <c r="E72" s="148"/>
      <c r="F72" s="148"/>
      <c r="G72" s="148"/>
      <c r="H72" s="149"/>
      <c r="I72" s="149"/>
      <c r="J72" s="149"/>
      <c r="K72" s="149"/>
      <c r="L72" s="149"/>
      <c r="M72" s="149"/>
      <c r="N72" s="149"/>
      <c r="O72" s="147"/>
      <c r="Q72" s="61"/>
      <c r="R72" s="61"/>
      <c r="S72" s="61"/>
      <c r="T72" s="61"/>
      <c r="U72" s="61"/>
      <c r="V72" s="61"/>
    </row>
    <row r="73" spans="1:22" ht="21" customHeight="1" x14ac:dyDescent="0.25">
      <c r="A73" s="132"/>
      <c r="B73" s="132"/>
      <c r="C73" s="132"/>
      <c r="D73" s="148"/>
      <c r="E73" s="148"/>
      <c r="F73" s="148"/>
      <c r="G73" s="148"/>
      <c r="H73" s="149"/>
      <c r="I73" s="149"/>
      <c r="J73" s="149"/>
      <c r="K73" s="149"/>
      <c r="L73" s="149"/>
      <c r="M73" s="149"/>
      <c r="N73" s="149"/>
      <c r="O73" s="147"/>
      <c r="Q73" s="61"/>
      <c r="R73" s="61"/>
      <c r="S73" s="61"/>
      <c r="T73" s="61"/>
      <c r="U73" s="61"/>
      <c r="V73" s="61"/>
    </row>
    <row r="74" spans="1:22" ht="21" customHeight="1" x14ac:dyDescent="0.25">
      <c r="A74" s="132"/>
      <c r="B74" s="132"/>
      <c r="C74" s="132"/>
      <c r="D74" s="148"/>
      <c r="E74" s="148"/>
      <c r="F74" s="148"/>
      <c r="G74" s="148"/>
      <c r="H74" s="149"/>
      <c r="I74" s="149"/>
      <c r="J74" s="149"/>
      <c r="K74" s="149"/>
      <c r="L74" s="149"/>
      <c r="M74" s="149"/>
      <c r="N74" s="149"/>
      <c r="O74" s="147"/>
      <c r="Q74" s="61"/>
      <c r="R74" s="61"/>
      <c r="S74" s="61"/>
      <c r="T74" s="61"/>
      <c r="U74" s="61"/>
      <c r="V74" s="61"/>
    </row>
    <row r="75" spans="1:22" ht="21" customHeight="1" x14ac:dyDescent="0.25">
      <c r="A75" s="132"/>
      <c r="B75" s="132"/>
      <c r="C75" s="132"/>
      <c r="D75" s="148"/>
      <c r="E75" s="148"/>
      <c r="F75" s="148"/>
      <c r="G75" s="148"/>
      <c r="H75" s="149"/>
      <c r="I75" s="149"/>
      <c r="J75" s="149"/>
      <c r="K75" s="149"/>
      <c r="L75" s="149"/>
      <c r="M75" s="149"/>
      <c r="N75" s="149"/>
      <c r="O75" s="147"/>
      <c r="Q75" s="61"/>
      <c r="R75" s="61"/>
      <c r="S75" s="61"/>
      <c r="T75" s="61"/>
      <c r="U75" s="61"/>
      <c r="V75" s="61"/>
    </row>
    <row r="76" spans="1:22" ht="21" customHeight="1" x14ac:dyDescent="0.25">
      <c r="A76" s="132"/>
      <c r="B76" s="132"/>
      <c r="C76" s="132"/>
      <c r="D76" s="148"/>
      <c r="E76" s="148"/>
      <c r="F76" s="148"/>
      <c r="G76" s="148"/>
      <c r="H76" s="149"/>
      <c r="I76" s="149"/>
      <c r="J76" s="149"/>
      <c r="K76" s="149"/>
      <c r="L76" s="149"/>
      <c r="M76" s="149"/>
      <c r="N76" s="149"/>
      <c r="O76" s="147"/>
      <c r="Q76" s="61"/>
      <c r="R76" s="61"/>
      <c r="S76" s="61"/>
      <c r="T76" s="61"/>
      <c r="U76" s="61"/>
      <c r="V76" s="61"/>
    </row>
    <row r="77" spans="1:22" ht="21" customHeight="1" x14ac:dyDescent="0.25">
      <c r="A77" s="132"/>
      <c r="B77" s="132"/>
      <c r="C77" s="132"/>
      <c r="D77" s="148"/>
      <c r="E77" s="148"/>
      <c r="F77" s="148"/>
      <c r="G77" s="148"/>
      <c r="H77" s="149"/>
      <c r="I77" s="149"/>
      <c r="J77" s="149"/>
      <c r="K77" s="149"/>
      <c r="L77" s="149"/>
      <c r="M77" s="149"/>
      <c r="N77" s="149"/>
      <c r="O77" s="147"/>
      <c r="Q77" s="61"/>
      <c r="R77" s="61"/>
      <c r="S77" s="61"/>
      <c r="T77" s="61"/>
      <c r="U77" s="61"/>
      <c r="V77" s="61"/>
    </row>
    <row r="78" spans="1:22" ht="19.149999999999999" customHeight="1" x14ac:dyDescent="0.3">
      <c r="A78" s="9" t="s">
        <v>59</v>
      </c>
      <c r="B78" s="6"/>
      <c r="C78" s="6"/>
      <c r="D78" s="6"/>
      <c r="E78" s="6"/>
      <c r="F78" s="265" t="s">
        <v>31</v>
      </c>
      <c r="G78" s="265"/>
      <c r="H78" s="265"/>
      <c r="I78" s="265"/>
      <c r="J78" s="265"/>
      <c r="K78" s="265"/>
      <c r="L78" s="265"/>
      <c r="M78" s="265"/>
      <c r="N78" s="265"/>
      <c r="O78" s="138"/>
      <c r="P78" s="138"/>
    </row>
    <row r="79" spans="1:22" ht="19.149999999999999" customHeight="1" x14ac:dyDescent="0.3">
      <c r="A79" s="6" t="s">
        <v>193</v>
      </c>
      <c r="B79" s="6"/>
      <c r="C79" s="6"/>
      <c r="D79" s="6"/>
      <c r="E79" s="6"/>
      <c r="F79" s="135"/>
      <c r="G79" s="135"/>
      <c r="H79" s="135"/>
      <c r="I79" s="135"/>
      <c r="J79" s="135"/>
      <c r="K79" s="135"/>
      <c r="L79" s="135"/>
      <c r="M79" s="135"/>
      <c r="N79" s="135"/>
      <c r="O79" s="138"/>
      <c r="P79" s="138"/>
    </row>
    <row r="80" spans="1:22" ht="19.149999999999999" customHeight="1" x14ac:dyDescent="0.25">
      <c r="A80" s="184" t="s">
        <v>95</v>
      </c>
      <c r="B80" s="184"/>
      <c r="C80" s="184"/>
      <c r="D80" s="184"/>
      <c r="E80" s="184" t="s">
        <v>82</v>
      </c>
      <c r="F80" s="184"/>
      <c r="G80" s="184"/>
      <c r="H80" s="184"/>
      <c r="I80" s="184"/>
      <c r="J80" s="184"/>
      <c r="K80" s="184"/>
      <c r="L80" s="184"/>
      <c r="M80" s="184"/>
      <c r="N80" s="184"/>
      <c r="O80" s="139"/>
    </row>
    <row r="81" spans="1:16" ht="19.149999999999999" customHeight="1" x14ac:dyDescent="0.25">
      <c r="A81" s="184"/>
      <c r="B81" s="184"/>
      <c r="C81" s="184"/>
      <c r="D81" s="184"/>
      <c r="E81" s="184" t="s">
        <v>94</v>
      </c>
      <c r="F81" s="184"/>
      <c r="G81" s="184"/>
      <c r="H81" s="184"/>
      <c r="I81" s="184"/>
      <c r="J81" s="184" t="s">
        <v>96</v>
      </c>
      <c r="K81" s="184"/>
      <c r="L81" s="184"/>
      <c r="M81" s="184"/>
      <c r="N81" s="184"/>
      <c r="O81" s="139"/>
    </row>
    <row r="82" spans="1:16" ht="19.149999999999999" customHeight="1" x14ac:dyDescent="0.25">
      <c r="A82" s="252" t="s">
        <v>83</v>
      </c>
      <c r="B82" s="252"/>
      <c r="C82" s="252"/>
      <c r="D82" s="252"/>
      <c r="E82" s="253" t="s">
        <v>131</v>
      </c>
      <c r="F82" s="253"/>
      <c r="G82" s="253"/>
      <c r="H82" s="253"/>
      <c r="I82" s="253"/>
      <c r="J82" s="254" t="s">
        <v>83</v>
      </c>
      <c r="K82" s="255"/>
      <c r="L82" s="255"/>
      <c r="M82" s="255"/>
      <c r="N82" s="256"/>
      <c r="O82" s="139"/>
    </row>
    <row r="83" spans="1:16" ht="19.149999999999999" customHeight="1" x14ac:dyDescent="0.25">
      <c r="A83" s="293" t="s">
        <v>129</v>
      </c>
      <c r="B83" s="294"/>
      <c r="C83" s="294"/>
      <c r="D83" s="295"/>
      <c r="E83" s="253"/>
      <c r="F83" s="253"/>
      <c r="G83" s="253"/>
      <c r="H83" s="253"/>
      <c r="I83" s="253"/>
      <c r="J83" s="258" t="s">
        <v>148</v>
      </c>
      <c r="K83" s="259"/>
      <c r="L83" s="259"/>
      <c r="M83" s="259"/>
      <c r="N83" s="260"/>
      <c r="O83" s="139"/>
    </row>
    <row r="84" spans="1:16" ht="19.149999999999999" customHeight="1" x14ac:dyDescent="0.25">
      <c r="A84" s="261" t="s">
        <v>166</v>
      </c>
      <c r="B84" s="261"/>
      <c r="C84" s="261"/>
      <c r="D84" s="261"/>
      <c r="E84" s="253"/>
      <c r="F84" s="253"/>
      <c r="G84" s="253"/>
      <c r="H84" s="253"/>
      <c r="I84" s="253"/>
      <c r="J84" s="262" t="s">
        <v>170</v>
      </c>
      <c r="K84" s="263"/>
      <c r="L84" s="263"/>
      <c r="M84" s="263"/>
      <c r="N84" s="264"/>
      <c r="O84" s="139"/>
    </row>
    <row r="85" spans="1:16" ht="19.149999999999999" customHeight="1" x14ac:dyDescent="0.3">
      <c r="A85" s="303" t="s">
        <v>110</v>
      </c>
      <c r="B85" s="303"/>
      <c r="C85" s="305">
        <v>52</v>
      </c>
      <c r="D85" s="305"/>
      <c r="E85" s="6"/>
      <c r="F85" s="135"/>
      <c r="G85" s="135"/>
      <c r="H85" s="135"/>
      <c r="I85" s="135"/>
      <c r="J85" s="135"/>
      <c r="K85" s="135"/>
      <c r="L85" s="135"/>
      <c r="M85" s="135"/>
      <c r="N85" s="135"/>
      <c r="O85" s="138"/>
      <c r="P85" s="138"/>
    </row>
    <row r="86" spans="1:16" ht="19.149999999999999" customHeight="1" x14ac:dyDescent="0.25">
      <c r="A86" s="233" t="s">
        <v>0</v>
      </c>
      <c r="B86" s="238" t="s">
        <v>19</v>
      </c>
      <c r="C86" s="238" t="s">
        <v>8</v>
      </c>
      <c r="D86" s="238" t="s">
        <v>9</v>
      </c>
      <c r="E86" s="241" t="s">
        <v>11</v>
      </c>
      <c r="F86" s="242"/>
      <c r="G86" s="241" t="s">
        <v>13</v>
      </c>
      <c r="H86" s="242"/>
      <c r="I86" s="233" t="s">
        <v>16</v>
      </c>
      <c r="J86" s="233" t="s">
        <v>32</v>
      </c>
      <c r="K86" s="233" t="s">
        <v>33</v>
      </c>
      <c r="L86" s="233" t="s">
        <v>17</v>
      </c>
      <c r="M86" s="233" t="s">
        <v>34</v>
      </c>
      <c r="N86" s="233" t="s">
        <v>18</v>
      </c>
      <c r="O86" s="140"/>
    </row>
    <row r="87" spans="1:16" ht="19.149999999999999" customHeight="1" x14ac:dyDescent="0.25">
      <c r="A87" s="236"/>
      <c r="B87" s="239"/>
      <c r="C87" s="239"/>
      <c r="D87" s="239"/>
      <c r="E87" s="243"/>
      <c r="F87" s="244"/>
      <c r="G87" s="243"/>
      <c r="H87" s="244"/>
      <c r="I87" s="234"/>
      <c r="J87" s="234"/>
      <c r="K87" s="234"/>
      <c r="L87" s="234"/>
      <c r="M87" s="234"/>
      <c r="N87" s="236"/>
      <c r="O87" s="132"/>
    </row>
    <row r="88" spans="1:16" ht="19.149999999999999" customHeight="1" x14ac:dyDescent="0.25">
      <c r="A88" s="236"/>
      <c r="B88" s="239"/>
      <c r="C88" s="239"/>
      <c r="D88" s="239"/>
      <c r="E88" s="233" t="s">
        <v>10</v>
      </c>
      <c r="F88" s="233" t="s">
        <v>12</v>
      </c>
      <c r="G88" s="233" t="s">
        <v>14</v>
      </c>
      <c r="H88" s="233" t="s">
        <v>15</v>
      </c>
      <c r="I88" s="234"/>
      <c r="J88" s="234"/>
      <c r="K88" s="234"/>
      <c r="L88" s="234"/>
      <c r="M88" s="234"/>
      <c r="N88" s="236"/>
      <c r="O88" s="132"/>
    </row>
    <row r="89" spans="1:16" ht="30.6" customHeight="1" x14ac:dyDescent="0.25">
      <c r="A89" s="237"/>
      <c r="B89" s="240"/>
      <c r="C89" s="240"/>
      <c r="D89" s="240"/>
      <c r="E89" s="235"/>
      <c r="F89" s="235"/>
      <c r="G89" s="235"/>
      <c r="H89" s="235"/>
      <c r="I89" s="235"/>
      <c r="J89" s="235"/>
      <c r="K89" s="235"/>
      <c r="L89" s="235"/>
      <c r="M89" s="235"/>
      <c r="N89" s="237"/>
      <c r="O89" s="132"/>
    </row>
    <row r="90" spans="1:16" ht="17.45" customHeight="1" x14ac:dyDescent="0.25">
      <c r="A90" s="246" t="s">
        <v>42</v>
      </c>
      <c r="B90" s="247"/>
      <c r="C90" s="247"/>
      <c r="D90" s="247"/>
      <c r="E90" s="247"/>
      <c r="F90" s="247"/>
      <c r="G90" s="247"/>
      <c r="H90" s="247"/>
      <c r="I90" s="247"/>
      <c r="J90" s="247"/>
      <c r="K90" s="247"/>
      <c r="L90" s="247"/>
      <c r="M90" s="247"/>
      <c r="N90" s="248"/>
      <c r="O90" s="132"/>
    </row>
    <row r="91" spans="1:16" ht="17.45" customHeight="1" x14ac:dyDescent="0.25">
      <c r="A91" s="7">
        <v>1</v>
      </c>
      <c r="B91" s="8" t="s">
        <v>2</v>
      </c>
      <c r="C91" s="10">
        <f>L91/100*100</f>
        <v>70</v>
      </c>
      <c r="D91" s="11">
        <f>C91/100*60</f>
        <v>42</v>
      </c>
      <c r="E91" s="12">
        <f>C91/100*15</f>
        <v>10.5</v>
      </c>
      <c r="F91" s="12"/>
      <c r="G91" s="12"/>
      <c r="H91" s="12"/>
      <c r="I91" s="12"/>
      <c r="J91" s="19">
        <f>C91/100*387</f>
        <v>270.89999999999998</v>
      </c>
      <c r="K91" s="19">
        <f>C91/100*0.09</f>
        <v>6.3E-2</v>
      </c>
      <c r="L91" s="99">
        <v>70</v>
      </c>
      <c r="M91" s="17">
        <v>20</v>
      </c>
      <c r="N91" s="10">
        <f>L91*M91</f>
        <v>1400</v>
      </c>
      <c r="O91" s="3"/>
    </row>
    <row r="92" spans="1:16" ht="17.45" customHeight="1" x14ac:dyDescent="0.25">
      <c r="A92" s="7">
        <v>2</v>
      </c>
      <c r="B92" s="116" t="s">
        <v>121</v>
      </c>
      <c r="C92" s="10">
        <f>L92/100*100</f>
        <v>260</v>
      </c>
      <c r="D92" s="11">
        <f>C92/100*899</f>
        <v>2337.4</v>
      </c>
      <c r="E92" s="12"/>
      <c r="F92" s="12"/>
      <c r="G92" s="12">
        <f>C92/100*100</f>
        <v>260</v>
      </c>
      <c r="H92" s="12"/>
      <c r="I92" s="12"/>
      <c r="J92" s="19"/>
      <c r="K92" s="19"/>
      <c r="L92" s="99">
        <v>260</v>
      </c>
      <c r="M92" s="98">
        <v>68</v>
      </c>
      <c r="N92" s="101">
        <f t="shared" ref="N92:N101" si="5">L92*M92</f>
        <v>17680</v>
      </c>
      <c r="O92" s="3"/>
    </row>
    <row r="93" spans="1:16" ht="17.45" customHeight="1" x14ac:dyDescent="0.25">
      <c r="A93" s="7">
        <v>3</v>
      </c>
      <c r="B93" s="116" t="s">
        <v>126</v>
      </c>
      <c r="C93" s="10">
        <f t="shared" ref="C93" si="6">L93/100*100</f>
        <v>120</v>
      </c>
      <c r="D93" s="57">
        <f>C93/100*900</f>
        <v>1080</v>
      </c>
      <c r="E93" s="12"/>
      <c r="F93" s="12"/>
      <c r="G93" s="81"/>
      <c r="H93" s="12">
        <f>C93/100*100</f>
        <v>120</v>
      </c>
      <c r="I93" s="12"/>
      <c r="J93" s="12"/>
      <c r="K93" s="12"/>
      <c r="L93" s="99">
        <v>120</v>
      </c>
      <c r="M93" s="57">
        <v>63.5</v>
      </c>
      <c r="N93" s="83">
        <f t="shared" si="5"/>
        <v>7620</v>
      </c>
      <c r="O93" s="141"/>
    </row>
    <row r="94" spans="1:16" ht="17.45" customHeight="1" x14ac:dyDescent="0.25">
      <c r="A94" s="7">
        <v>4</v>
      </c>
      <c r="B94" s="8" t="s">
        <v>119</v>
      </c>
      <c r="C94" s="10">
        <f>L94/100*100</f>
        <v>320</v>
      </c>
      <c r="D94" s="11">
        <f>C94/100*53</f>
        <v>169.60000000000002</v>
      </c>
      <c r="E94" s="12"/>
      <c r="F94" s="12">
        <f>C94/100*6.3</f>
        <v>20.16</v>
      </c>
      <c r="G94" s="12"/>
      <c r="H94" s="12">
        <f>C94/100*0.04</f>
        <v>0.128</v>
      </c>
      <c r="I94" s="12">
        <f>C94/100*6.8</f>
        <v>21.76</v>
      </c>
      <c r="J94" s="19">
        <f>C94/100*19</f>
        <v>60.800000000000004</v>
      </c>
      <c r="K94" s="19">
        <f>C94/100*0.03</f>
        <v>9.6000000000000002E-2</v>
      </c>
      <c r="L94" s="99">
        <v>320</v>
      </c>
      <c r="M94" s="17">
        <v>42.5</v>
      </c>
      <c r="N94" s="10">
        <f t="shared" si="5"/>
        <v>13600</v>
      </c>
      <c r="O94" s="146"/>
    </row>
    <row r="95" spans="1:16" ht="17.45" customHeight="1" x14ac:dyDescent="0.25">
      <c r="A95" s="7">
        <v>5</v>
      </c>
      <c r="B95" s="8" t="s">
        <v>128</v>
      </c>
      <c r="C95" s="10">
        <f>L95/100*90</f>
        <v>54</v>
      </c>
      <c r="D95" s="11">
        <f>C95/100*281</f>
        <v>151.74</v>
      </c>
      <c r="E95" s="12"/>
      <c r="F95" s="12">
        <f>C95/100*9.5</f>
        <v>5.1300000000000008</v>
      </c>
      <c r="G95" s="12"/>
      <c r="H95" s="12">
        <f>C95/100*0.2</f>
        <v>0.10800000000000001</v>
      </c>
      <c r="I95" s="12">
        <f>D95/100*58.5</f>
        <v>88.767900000000012</v>
      </c>
      <c r="J95" s="19">
        <f>C95/100*321</f>
        <v>173.34</v>
      </c>
      <c r="K95" s="19">
        <f>C95/100*0.14</f>
        <v>7.5600000000000014E-2</v>
      </c>
      <c r="L95" s="99">
        <v>60</v>
      </c>
      <c r="M95" s="38">
        <v>120</v>
      </c>
      <c r="N95" s="10">
        <f t="shared" si="5"/>
        <v>7200</v>
      </c>
      <c r="O95" s="146"/>
    </row>
    <row r="96" spans="1:16" ht="17.45" customHeight="1" x14ac:dyDescent="0.25">
      <c r="A96" s="7">
        <v>6</v>
      </c>
      <c r="B96" s="4" t="s">
        <v>1</v>
      </c>
      <c r="C96" s="10">
        <f>L96/100*100</f>
        <v>2236</v>
      </c>
      <c r="D96" s="11">
        <f>C96/100*344</f>
        <v>7691.84</v>
      </c>
      <c r="E96" s="12"/>
      <c r="F96" s="12">
        <f>C96/100*7.9</f>
        <v>176.64400000000001</v>
      </c>
      <c r="G96" s="12"/>
      <c r="H96" s="12">
        <f>C96/100*1</f>
        <v>22.36</v>
      </c>
      <c r="I96" s="81">
        <f>C96/100*72.3</f>
        <v>1616.6279999999999</v>
      </c>
      <c r="J96" s="19">
        <f>C96/100*30</f>
        <v>670.8</v>
      </c>
      <c r="K96" s="19">
        <f>C96/100*0.1</f>
        <v>2.2360000000000002</v>
      </c>
      <c r="L96" s="99">
        <v>2236</v>
      </c>
      <c r="M96" s="17">
        <v>18</v>
      </c>
      <c r="N96" s="10">
        <f t="shared" si="5"/>
        <v>40248</v>
      </c>
      <c r="O96" s="3"/>
    </row>
    <row r="97" spans="1:20" ht="17.45" customHeight="1" x14ac:dyDescent="0.25">
      <c r="A97" s="7">
        <v>7</v>
      </c>
      <c r="B97" s="8" t="s">
        <v>66</v>
      </c>
      <c r="C97" s="10">
        <f>L97/100*98</f>
        <v>2136.4</v>
      </c>
      <c r="D97" s="11">
        <f>C97/100*139</f>
        <v>2969.596</v>
      </c>
      <c r="E97" s="12">
        <f>C97/100*19</f>
        <v>405.916</v>
      </c>
      <c r="F97" s="12"/>
      <c r="G97" s="12">
        <f>C97/100*7</f>
        <v>149.548</v>
      </c>
      <c r="H97" s="12"/>
      <c r="I97" s="12"/>
      <c r="J97" s="19">
        <f>C97/100*7</f>
        <v>149.548</v>
      </c>
      <c r="K97" s="19">
        <f>C97/100*0.9</f>
        <v>19.227600000000002</v>
      </c>
      <c r="L97" s="99">
        <v>2180</v>
      </c>
      <c r="M97" s="37">
        <v>130</v>
      </c>
      <c r="N97" s="34">
        <f t="shared" si="5"/>
        <v>283400</v>
      </c>
      <c r="O97" s="3"/>
    </row>
    <row r="98" spans="1:20" ht="17.45" customHeight="1" x14ac:dyDescent="0.25">
      <c r="A98" s="7">
        <v>8</v>
      </c>
      <c r="B98" s="4" t="s">
        <v>3</v>
      </c>
      <c r="C98" s="10">
        <f>L98/100*48</f>
        <v>700.8</v>
      </c>
      <c r="D98" s="11">
        <f>C98/100*199</f>
        <v>1394.5919999999999</v>
      </c>
      <c r="E98" s="12">
        <f>C98/100*20.3</f>
        <v>142.26239999999999</v>
      </c>
      <c r="F98" s="12"/>
      <c r="G98" s="12">
        <f>C98/100*13.1</f>
        <v>91.804799999999986</v>
      </c>
      <c r="H98" s="12"/>
      <c r="I98" s="12"/>
      <c r="J98" s="19">
        <f>C98/100*12</f>
        <v>84.095999999999989</v>
      </c>
      <c r="K98" s="19">
        <f>C98/100*0.15</f>
        <v>1.0511999999999999</v>
      </c>
      <c r="L98" s="99">
        <v>1460</v>
      </c>
      <c r="M98" s="13">
        <v>84</v>
      </c>
      <c r="N98" s="10">
        <f t="shared" si="5"/>
        <v>122640</v>
      </c>
      <c r="O98" s="3"/>
      <c r="Q98" s="2"/>
      <c r="R98" s="2"/>
      <c r="S98" s="3"/>
    </row>
    <row r="99" spans="1:20" ht="18" customHeight="1" x14ac:dyDescent="0.25">
      <c r="A99" s="7">
        <v>9</v>
      </c>
      <c r="B99" s="4" t="s">
        <v>168</v>
      </c>
      <c r="C99" s="10">
        <f>L99/100*78</f>
        <v>1138.8</v>
      </c>
      <c r="D99" s="11">
        <f>C99/100*37</f>
        <v>421.35599999999999</v>
      </c>
      <c r="E99" s="12"/>
      <c r="F99" s="12">
        <f>C99/100*2.8</f>
        <v>31.886399999999998</v>
      </c>
      <c r="G99" s="12"/>
      <c r="H99" s="12">
        <f>C99/100*0.1</f>
        <v>1.1388</v>
      </c>
      <c r="I99" s="12">
        <f>C99/100*6.2</f>
        <v>70.605599999999995</v>
      </c>
      <c r="J99" s="19">
        <f>C99/100*46</f>
        <v>523.84799999999996</v>
      </c>
      <c r="K99" s="19">
        <f>C99/100*0.06</f>
        <v>0.68328</v>
      </c>
      <c r="L99" s="13">
        <v>1460</v>
      </c>
      <c r="M99" s="17">
        <v>24</v>
      </c>
      <c r="N99" s="10">
        <f t="shared" si="5"/>
        <v>35040</v>
      </c>
      <c r="O99" s="3"/>
      <c r="Q99" s="2"/>
      <c r="R99" s="2"/>
      <c r="S99" s="3"/>
    </row>
    <row r="100" spans="1:20" ht="17.45" customHeight="1" x14ac:dyDescent="0.25">
      <c r="A100" s="7">
        <v>10</v>
      </c>
      <c r="B100" s="4" t="s">
        <v>5</v>
      </c>
      <c r="C100" s="10">
        <f>L100/100*98.5</f>
        <v>384.15</v>
      </c>
      <c r="D100" s="11">
        <f>C100/100*39</f>
        <v>149.8185</v>
      </c>
      <c r="E100" s="14"/>
      <c r="F100" s="14">
        <f>C100/100*1.5</f>
        <v>5.7622499999999999</v>
      </c>
      <c r="G100" s="14"/>
      <c r="H100" s="14">
        <f>C100/100*0.2</f>
        <v>0.76829999999999998</v>
      </c>
      <c r="I100" s="14">
        <f>C100/100*7.8</f>
        <v>29.963699999999999</v>
      </c>
      <c r="J100" s="18">
        <f>C100/100*43</f>
        <v>165.18449999999999</v>
      </c>
      <c r="K100" s="18">
        <f>C100/100*0.06</f>
        <v>0.23048999999999997</v>
      </c>
      <c r="L100" s="144">
        <v>390</v>
      </c>
      <c r="M100" s="13">
        <v>17</v>
      </c>
      <c r="N100" s="10">
        <f t="shared" si="5"/>
        <v>6630</v>
      </c>
      <c r="O100" s="3"/>
      <c r="Q100" s="2"/>
      <c r="R100" s="2"/>
      <c r="S100" s="3"/>
    </row>
    <row r="101" spans="1:20" ht="17.45" customHeight="1" x14ac:dyDescent="0.25">
      <c r="A101" s="7">
        <v>11</v>
      </c>
      <c r="B101" s="4" t="s">
        <v>117</v>
      </c>
      <c r="C101" s="10">
        <f>L101/100*100</f>
        <v>40</v>
      </c>
      <c r="D101" s="11">
        <f>C101/100*247</f>
        <v>98.800000000000011</v>
      </c>
      <c r="E101" s="14"/>
      <c r="F101" s="14">
        <f>C101/100*17.5</f>
        <v>7</v>
      </c>
      <c r="G101" s="14"/>
      <c r="H101" s="14">
        <f>C101/100*1.6</f>
        <v>0.64000000000000012</v>
      </c>
      <c r="I101" s="14">
        <f>C101/100*39.2</f>
        <v>15.680000000000001</v>
      </c>
      <c r="J101" s="18"/>
      <c r="K101" s="18"/>
      <c r="L101" s="144">
        <v>40</v>
      </c>
      <c r="M101" s="17">
        <v>50</v>
      </c>
      <c r="N101" s="101">
        <f t="shared" si="5"/>
        <v>2000</v>
      </c>
      <c r="O101" s="3"/>
      <c r="Q101" s="2"/>
      <c r="R101" s="2"/>
      <c r="S101" s="3"/>
      <c r="T101" s="2"/>
    </row>
    <row r="102" spans="1:20" ht="17.45" customHeight="1" x14ac:dyDescent="0.25">
      <c r="A102" s="7">
        <v>12</v>
      </c>
      <c r="B102" s="8" t="s">
        <v>111</v>
      </c>
      <c r="C102" s="10"/>
      <c r="D102" s="11"/>
      <c r="E102" s="12"/>
      <c r="F102" s="12"/>
      <c r="G102" s="12"/>
      <c r="H102" s="12"/>
      <c r="I102" s="12"/>
      <c r="J102" s="12"/>
      <c r="K102" s="12"/>
      <c r="L102" s="13"/>
      <c r="M102" s="13"/>
      <c r="N102" s="10">
        <v>3400</v>
      </c>
      <c r="O102" s="3"/>
    </row>
    <row r="103" spans="1:20" ht="17.45" customHeight="1" x14ac:dyDescent="0.25">
      <c r="A103" s="20" t="s">
        <v>104</v>
      </c>
      <c r="B103" s="21"/>
      <c r="C103" s="22"/>
      <c r="D103" s="84">
        <f>SUM(D91:D102)</f>
        <v>16506.7425</v>
      </c>
      <c r="E103" s="5"/>
      <c r="F103" s="5"/>
      <c r="G103" s="5"/>
      <c r="H103" s="5"/>
      <c r="I103" s="5"/>
      <c r="J103" s="5"/>
      <c r="K103" s="5"/>
      <c r="L103" s="28"/>
      <c r="M103" s="28"/>
      <c r="N103" s="314">
        <f>SUM(N91:N102)</f>
        <v>540858</v>
      </c>
      <c r="O103" s="3"/>
    </row>
    <row r="104" spans="1:20" ht="17.45" customHeight="1" x14ac:dyDescent="0.25">
      <c r="A104" s="20" t="s">
        <v>43</v>
      </c>
      <c r="B104" s="21"/>
      <c r="C104" s="29"/>
      <c r="D104" s="30">
        <f>D103/C85</f>
        <v>317.43735576923075</v>
      </c>
      <c r="E104" s="30"/>
      <c r="F104" s="30"/>
      <c r="G104" s="30"/>
      <c r="H104" s="30"/>
      <c r="I104" s="30"/>
      <c r="J104" s="30"/>
      <c r="K104" s="30"/>
      <c r="L104" s="28"/>
      <c r="M104" s="28"/>
      <c r="N104" s="315"/>
      <c r="O104" s="3"/>
    </row>
    <row r="105" spans="1:20" ht="17.45" customHeight="1" x14ac:dyDescent="0.25">
      <c r="A105" s="307" t="s">
        <v>52</v>
      </c>
      <c r="B105" s="218"/>
      <c r="C105" s="145" t="s">
        <v>132</v>
      </c>
      <c r="D105" s="26" t="s">
        <v>38</v>
      </c>
      <c r="E105" s="30"/>
      <c r="F105" s="30"/>
      <c r="G105" s="30"/>
      <c r="H105" s="30"/>
      <c r="I105" s="30"/>
      <c r="J105" s="31"/>
      <c r="K105" s="31"/>
      <c r="L105" s="28"/>
      <c r="M105" s="28"/>
      <c r="N105" s="137"/>
      <c r="O105" s="3"/>
    </row>
    <row r="106" spans="1:20" ht="17.45" customHeight="1" x14ac:dyDescent="0.25">
      <c r="A106" s="219"/>
      <c r="B106" s="220"/>
      <c r="C106" s="54" t="s">
        <v>58</v>
      </c>
      <c r="D106" s="26">
        <f>D104*100/930</f>
        <v>34.133049007444164</v>
      </c>
      <c r="E106" s="30"/>
      <c r="F106" s="30"/>
      <c r="G106" s="30"/>
      <c r="H106" s="30"/>
      <c r="I106" s="30"/>
      <c r="J106" s="31"/>
      <c r="K106" s="31"/>
      <c r="L106" s="28"/>
      <c r="M106" s="28"/>
      <c r="N106" s="137"/>
      <c r="O106" s="3"/>
    </row>
    <row r="107" spans="1:20" ht="17.45" customHeight="1" x14ac:dyDescent="0.3">
      <c r="A107" s="313" t="s">
        <v>45</v>
      </c>
      <c r="B107" s="245"/>
      <c r="C107" s="39"/>
      <c r="D107" s="40"/>
      <c r="E107" s="41"/>
      <c r="F107" s="41"/>
      <c r="G107" s="41"/>
      <c r="H107" s="41"/>
      <c r="I107" s="41"/>
      <c r="J107" s="41"/>
      <c r="K107" s="41"/>
      <c r="L107" s="42"/>
      <c r="M107" s="42"/>
      <c r="N107" s="43"/>
      <c r="O107" s="3"/>
    </row>
    <row r="108" spans="1:20" ht="17.45" customHeight="1" x14ac:dyDescent="0.25">
      <c r="A108" s="7">
        <v>1</v>
      </c>
      <c r="B108" s="8" t="s">
        <v>2</v>
      </c>
      <c r="C108" s="10">
        <f>L108/100*100</f>
        <v>60</v>
      </c>
      <c r="D108" s="11">
        <f>C108/100*60</f>
        <v>36</v>
      </c>
      <c r="E108" s="12">
        <f>C108/100*15</f>
        <v>9</v>
      </c>
      <c r="F108" s="12"/>
      <c r="G108" s="12"/>
      <c r="H108" s="12"/>
      <c r="I108" s="12"/>
      <c r="J108" s="19">
        <f>C108/100*387</f>
        <v>232.2</v>
      </c>
      <c r="K108" s="19">
        <f>C108/100*0.09</f>
        <v>5.3999999999999999E-2</v>
      </c>
      <c r="L108" s="99">
        <v>60</v>
      </c>
      <c r="M108" s="17">
        <v>20</v>
      </c>
      <c r="N108" s="10">
        <f>L108*M108</f>
        <v>1200</v>
      </c>
      <c r="O108" s="3"/>
    </row>
    <row r="109" spans="1:20" ht="17.45" customHeight="1" x14ac:dyDescent="0.25">
      <c r="A109" s="7">
        <v>2</v>
      </c>
      <c r="B109" s="8" t="s">
        <v>121</v>
      </c>
      <c r="C109" s="10">
        <f>L109/100*100</f>
        <v>190</v>
      </c>
      <c r="D109" s="11">
        <f>C109/100*899</f>
        <v>1708.1</v>
      </c>
      <c r="E109" s="12"/>
      <c r="F109" s="12"/>
      <c r="G109" s="12">
        <f>C109/100*100</f>
        <v>190</v>
      </c>
      <c r="H109" s="12"/>
      <c r="I109" s="12"/>
      <c r="J109" s="19"/>
      <c r="K109" s="19"/>
      <c r="L109" s="99">
        <v>190</v>
      </c>
      <c r="M109" s="98">
        <v>68</v>
      </c>
      <c r="N109" s="101">
        <f t="shared" ref="N109:N116" si="7">L109*M109</f>
        <v>12920</v>
      </c>
      <c r="O109" s="3"/>
    </row>
    <row r="110" spans="1:20" ht="17.45" customHeight="1" x14ac:dyDescent="0.25">
      <c r="A110" s="7">
        <v>3</v>
      </c>
      <c r="B110" s="4" t="s">
        <v>1</v>
      </c>
      <c r="C110" s="10">
        <f>L110/100*100</f>
        <v>2184</v>
      </c>
      <c r="D110" s="11">
        <f>C110/100*344</f>
        <v>7512.96</v>
      </c>
      <c r="E110" s="12"/>
      <c r="F110" s="12">
        <f>C110/100*7.9</f>
        <v>172.536</v>
      </c>
      <c r="G110" s="12"/>
      <c r="H110" s="12">
        <f>C110/100*1</f>
        <v>21.84</v>
      </c>
      <c r="I110" s="81">
        <f>C110/100*72.3</f>
        <v>1579.0319999999999</v>
      </c>
      <c r="J110" s="19">
        <f>C110/100*30</f>
        <v>655.20000000000005</v>
      </c>
      <c r="K110" s="19">
        <f>C110/100*0.1</f>
        <v>2.1840000000000002</v>
      </c>
      <c r="L110" s="99">
        <v>2184</v>
      </c>
      <c r="M110" s="17">
        <v>18</v>
      </c>
      <c r="N110" s="10">
        <f t="shared" si="7"/>
        <v>39312</v>
      </c>
      <c r="O110" s="3"/>
    </row>
    <row r="111" spans="1:20" ht="17.45" customHeight="1" x14ac:dyDescent="0.25">
      <c r="A111" s="7">
        <v>4</v>
      </c>
      <c r="B111" s="8" t="s">
        <v>123</v>
      </c>
      <c r="C111" s="10">
        <f>L111/100*31</f>
        <v>179.79999999999998</v>
      </c>
      <c r="D111" s="11">
        <f>C111/100*87</f>
        <v>156.42599999999999</v>
      </c>
      <c r="E111" s="12">
        <f>C111/100*12.3</f>
        <v>22.115399999999998</v>
      </c>
      <c r="F111" s="12"/>
      <c r="G111" s="12">
        <f>C111/100*3.3</f>
        <v>5.9333999999999989</v>
      </c>
      <c r="H111" s="12"/>
      <c r="I111" s="12">
        <f>C111/100*2</f>
        <v>3.5959999999999996</v>
      </c>
      <c r="J111" s="19">
        <f>C111/100*120</f>
        <v>215.76</v>
      </c>
      <c r="K111" s="19">
        <f>C111/100*0.01</f>
        <v>1.7979999999999999E-2</v>
      </c>
      <c r="L111" s="99">
        <v>580</v>
      </c>
      <c r="M111" s="91">
        <v>160</v>
      </c>
      <c r="N111" s="10">
        <f t="shared" si="7"/>
        <v>92800</v>
      </c>
      <c r="O111" s="3"/>
    </row>
    <row r="112" spans="1:20" ht="17.45" customHeight="1" x14ac:dyDescent="0.25">
      <c r="A112" s="7">
        <v>5</v>
      </c>
      <c r="B112" s="8" t="s">
        <v>63</v>
      </c>
      <c r="C112" s="10">
        <f>L112/100*86</f>
        <v>1341.6</v>
      </c>
      <c r="D112" s="11">
        <f>C112/100*166</f>
        <v>2227.0559999999996</v>
      </c>
      <c r="E112" s="12">
        <f>C112/100*14.8</f>
        <v>198.55679999999998</v>
      </c>
      <c r="F112" s="12"/>
      <c r="G112" s="12">
        <f>C112/100*11.6</f>
        <v>155.62559999999999</v>
      </c>
      <c r="H112" s="12"/>
      <c r="I112" s="12">
        <f>C112/100*0.5</f>
        <v>6.7079999999999993</v>
      </c>
      <c r="J112" s="12">
        <f>C112/100*55</f>
        <v>737.87999999999988</v>
      </c>
      <c r="K112" s="12">
        <f>C112/100*0.16</f>
        <v>2.14656</v>
      </c>
      <c r="L112" s="99">
        <v>1560</v>
      </c>
      <c r="M112" s="38">
        <v>62</v>
      </c>
      <c r="N112" s="10">
        <f t="shared" si="7"/>
        <v>96720</v>
      </c>
      <c r="O112" s="3"/>
      <c r="Q112" s="2"/>
      <c r="R112" s="2"/>
      <c r="S112" s="3"/>
      <c r="T112" s="2"/>
    </row>
    <row r="113" spans="1:20" ht="17.45" customHeight="1" x14ac:dyDescent="0.25">
      <c r="A113" s="7">
        <v>6</v>
      </c>
      <c r="B113" s="8" t="s">
        <v>66</v>
      </c>
      <c r="C113" s="10">
        <f>L113/100*98</f>
        <v>509.6</v>
      </c>
      <c r="D113" s="11">
        <f>C113/100*139</f>
        <v>708.34400000000005</v>
      </c>
      <c r="E113" s="12">
        <f>C113/100*19</f>
        <v>96.823999999999998</v>
      </c>
      <c r="F113" s="12"/>
      <c r="G113" s="12">
        <f>C113/100*7</f>
        <v>35.671999999999997</v>
      </c>
      <c r="H113" s="12"/>
      <c r="I113" s="12"/>
      <c r="J113" s="19">
        <f>C113/100*7</f>
        <v>35.671999999999997</v>
      </c>
      <c r="K113" s="19">
        <f>C113/100*0.9</f>
        <v>4.5864000000000003</v>
      </c>
      <c r="L113" s="99">
        <v>520</v>
      </c>
      <c r="M113" s="37">
        <v>130</v>
      </c>
      <c r="N113" s="34">
        <f t="shared" si="7"/>
        <v>67600</v>
      </c>
      <c r="O113" s="3"/>
    </row>
    <row r="114" spans="1:20" ht="17.45" customHeight="1" x14ac:dyDescent="0.25">
      <c r="A114" s="7">
        <v>7</v>
      </c>
      <c r="B114" s="4" t="s">
        <v>117</v>
      </c>
      <c r="C114" s="10">
        <f>L114/100*100</f>
        <v>40</v>
      </c>
      <c r="D114" s="11">
        <f>C114/100*247</f>
        <v>98.800000000000011</v>
      </c>
      <c r="E114" s="14"/>
      <c r="F114" s="14">
        <f>C114/100*17.5</f>
        <v>7</v>
      </c>
      <c r="G114" s="14"/>
      <c r="H114" s="14">
        <f>C114/100*1.6</f>
        <v>0.64000000000000012</v>
      </c>
      <c r="I114" s="14">
        <f>C114/100*39.2</f>
        <v>15.680000000000001</v>
      </c>
      <c r="J114" s="18"/>
      <c r="K114" s="18"/>
      <c r="L114" s="143">
        <v>40</v>
      </c>
      <c r="M114" s="17">
        <v>50</v>
      </c>
      <c r="N114" s="101">
        <f t="shared" si="7"/>
        <v>2000</v>
      </c>
      <c r="O114" s="3"/>
      <c r="Q114" s="2"/>
      <c r="R114" s="2"/>
      <c r="S114" s="3"/>
      <c r="T114" s="2"/>
    </row>
    <row r="115" spans="1:20" ht="16.899999999999999" customHeight="1" x14ac:dyDescent="0.25">
      <c r="A115" s="7">
        <v>8</v>
      </c>
      <c r="B115" s="4" t="s">
        <v>159</v>
      </c>
      <c r="C115" s="10">
        <f>L115/100*65</f>
        <v>949</v>
      </c>
      <c r="D115" s="11">
        <f>C115/100*14</f>
        <v>132.86000000000001</v>
      </c>
      <c r="E115" s="12"/>
      <c r="F115" s="12">
        <f>C115/100*1.6</f>
        <v>15.184000000000001</v>
      </c>
      <c r="G115" s="12"/>
      <c r="H115" s="12"/>
      <c r="I115" s="12">
        <f>C115/100*1.9</f>
        <v>18.030999999999999</v>
      </c>
      <c r="J115" s="12">
        <f>C115/100*63</f>
        <v>597.87</v>
      </c>
      <c r="K115" s="12">
        <f>C115/100*0.01</f>
        <v>9.4899999999999998E-2</v>
      </c>
      <c r="L115" s="99">
        <v>1460</v>
      </c>
      <c r="M115" s="17">
        <v>18</v>
      </c>
      <c r="N115" s="10">
        <f t="shared" si="7"/>
        <v>26280</v>
      </c>
      <c r="O115" s="3"/>
    </row>
    <row r="116" spans="1:20" ht="17.45" customHeight="1" x14ac:dyDescent="0.25">
      <c r="A116" s="7">
        <v>9</v>
      </c>
      <c r="B116" s="4" t="s">
        <v>20</v>
      </c>
      <c r="C116" s="10">
        <f>L116/100*95</f>
        <v>760</v>
      </c>
      <c r="D116" s="11">
        <f>C116/100*20</f>
        <v>152</v>
      </c>
      <c r="E116" s="12"/>
      <c r="F116" s="12">
        <f>C116/100*0.6</f>
        <v>4.5599999999999996</v>
      </c>
      <c r="G116" s="12"/>
      <c r="H116" s="12">
        <f>C116/100*0.2</f>
        <v>1.52</v>
      </c>
      <c r="I116" s="12">
        <f>C116/100*4</f>
        <v>30.4</v>
      </c>
      <c r="J116" s="18">
        <f>C116/100*12</f>
        <v>91.199999999999989</v>
      </c>
      <c r="K116" s="18">
        <f>C116/100*0.04</f>
        <v>0.30399999999999999</v>
      </c>
      <c r="L116" s="143">
        <v>800</v>
      </c>
      <c r="M116" s="13">
        <v>40</v>
      </c>
      <c r="N116" s="10">
        <f t="shared" si="7"/>
        <v>32000</v>
      </c>
      <c r="O116" s="3"/>
      <c r="Q116" s="2"/>
      <c r="R116" s="2"/>
    </row>
    <row r="117" spans="1:20" ht="17.45" customHeight="1" x14ac:dyDescent="0.25">
      <c r="A117" s="7">
        <v>10</v>
      </c>
      <c r="B117" s="8" t="s">
        <v>111</v>
      </c>
      <c r="C117" s="10"/>
      <c r="D117" s="11"/>
      <c r="E117" s="12"/>
      <c r="F117" s="12"/>
      <c r="G117" s="12"/>
      <c r="H117" s="12"/>
      <c r="I117" s="12"/>
      <c r="J117" s="12"/>
      <c r="K117" s="12"/>
      <c r="L117" s="13"/>
      <c r="M117" s="13"/>
      <c r="N117" s="10">
        <v>3400</v>
      </c>
      <c r="O117" s="3"/>
    </row>
    <row r="118" spans="1:20" ht="17.45" customHeight="1" x14ac:dyDescent="0.25">
      <c r="A118" s="20" t="s">
        <v>105</v>
      </c>
      <c r="B118" s="21"/>
      <c r="C118" s="22"/>
      <c r="D118" s="84">
        <f>SUM(D108:D117)</f>
        <v>12732.545999999998</v>
      </c>
      <c r="E118" s="5"/>
      <c r="F118" s="5"/>
      <c r="G118" s="5"/>
      <c r="H118" s="5"/>
      <c r="I118" s="5"/>
      <c r="J118" s="5"/>
      <c r="K118" s="5"/>
      <c r="L118" s="28"/>
      <c r="M118" s="28"/>
      <c r="N118" s="314">
        <f>SUM(N108:N117)</f>
        <v>374232</v>
      </c>
      <c r="O118" s="3"/>
    </row>
    <row r="119" spans="1:20" ht="17.45" customHeight="1" x14ac:dyDescent="0.25">
      <c r="A119" s="20" t="s">
        <v>46</v>
      </c>
      <c r="B119" s="21"/>
      <c r="C119" s="45"/>
      <c r="D119" s="31">
        <f>D118/C85</f>
        <v>244.85665384615382</v>
      </c>
      <c r="E119" s="31"/>
      <c r="F119" s="31"/>
      <c r="G119" s="31"/>
      <c r="H119" s="31"/>
      <c r="I119" s="31"/>
      <c r="J119" s="31"/>
      <c r="K119" s="31"/>
      <c r="L119" s="46"/>
      <c r="M119" s="28"/>
      <c r="N119" s="315"/>
      <c r="O119" s="3"/>
    </row>
    <row r="120" spans="1:20" ht="17.45" customHeight="1" x14ac:dyDescent="0.25">
      <c r="A120" s="307" t="s">
        <v>53</v>
      </c>
      <c r="B120" s="218"/>
      <c r="C120" s="145" t="s">
        <v>132</v>
      </c>
      <c r="D120" s="26" t="s">
        <v>48</v>
      </c>
      <c r="E120" s="30"/>
      <c r="F120" s="30"/>
      <c r="G120" s="30"/>
      <c r="H120" s="30"/>
      <c r="I120" s="30"/>
      <c r="J120" s="31"/>
      <c r="K120" s="31"/>
      <c r="L120" s="28"/>
      <c r="M120" s="28"/>
      <c r="N120" s="137"/>
      <c r="O120" s="3"/>
      <c r="S120" s="128"/>
    </row>
    <row r="121" spans="1:20" ht="17.45" customHeight="1" x14ac:dyDescent="0.25">
      <c r="A121" s="219"/>
      <c r="B121" s="220"/>
      <c r="C121" s="54" t="s">
        <v>58</v>
      </c>
      <c r="D121" s="26">
        <f>D119*100/930</f>
        <v>26.328672456575681</v>
      </c>
      <c r="E121" s="30"/>
      <c r="F121" s="30"/>
      <c r="G121" s="30"/>
      <c r="H121" s="30"/>
      <c r="I121" s="30"/>
      <c r="J121" s="31"/>
      <c r="K121" s="31"/>
      <c r="L121" s="28"/>
      <c r="M121" s="28"/>
      <c r="N121" s="137"/>
      <c r="O121" s="3"/>
    </row>
    <row r="122" spans="1:20" ht="17.45" customHeight="1" x14ac:dyDescent="0.3">
      <c r="A122" s="245" t="s">
        <v>39</v>
      </c>
      <c r="B122" s="245"/>
      <c r="C122" s="47"/>
      <c r="D122" s="48"/>
      <c r="E122" s="48"/>
      <c r="F122" s="48"/>
      <c r="G122" s="48"/>
      <c r="H122" s="48"/>
      <c r="I122" s="48"/>
      <c r="J122" s="48"/>
      <c r="K122" s="48"/>
      <c r="L122" s="49"/>
      <c r="M122" s="49"/>
      <c r="N122" s="50"/>
      <c r="O122" s="3"/>
    </row>
    <row r="123" spans="1:20" ht="17.45" customHeight="1" x14ac:dyDescent="0.25">
      <c r="A123" s="107">
        <v>1</v>
      </c>
      <c r="B123" s="126" t="s">
        <v>130</v>
      </c>
      <c r="C123" s="22">
        <f>L123/100*100</f>
        <v>880.00000000000011</v>
      </c>
      <c r="D123" s="108">
        <f>C123/100*487</f>
        <v>4285.6000000000004</v>
      </c>
      <c r="E123" s="24"/>
      <c r="F123" s="24">
        <f>C123/100*19.5</f>
        <v>171.60000000000002</v>
      </c>
      <c r="G123" s="24"/>
      <c r="H123" s="24">
        <f>C123/100*23.2</f>
        <v>204.16</v>
      </c>
      <c r="I123" s="24">
        <f>C123/100*46</f>
        <v>404.8</v>
      </c>
      <c r="J123" s="109">
        <f>C123/100*680</f>
        <v>5984.0000000000009</v>
      </c>
      <c r="K123" s="24">
        <f>C123/100*0.55</f>
        <v>4.8400000000000007</v>
      </c>
      <c r="L123" s="25">
        <v>880</v>
      </c>
      <c r="M123" s="127">
        <v>260</v>
      </c>
      <c r="N123" s="22">
        <f t="shared" ref="N123" si="8">L123*M123</f>
        <v>228800</v>
      </c>
      <c r="O123" s="3"/>
      <c r="P123" s="2"/>
    </row>
    <row r="124" spans="1:20" ht="19.149999999999999" customHeight="1" x14ac:dyDescent="0.25">
      <c r="A124" s="233" t="s">
        <v>0</v>
      </c>
      <c r="B124" s="238" t="s">
        <v>19</v>
      </c>
      <c r="C124" s="238" t="s">
        <v>8</v>
      </c>
      <c r="D124" s="238" t="s">
        <v>9</v>
      </c>
      <c r="E124" s="241" t="s">
        <v>11</v>
      </c>
      <c r="F124" s="242"/>
      <c r="G124" s="241" t="s">
        <v>13</v>
      </c>
      <c r="H124" s="242"/>
      <c r="I124" s="233" t="s">
        <v>16</v>
      </c>
      <c r="J124" s="233" t="s">
        <v>32</v>
      </c>
      <c r="K124" s="233" t="s">
        <v>33</v>
      </c>
      <c r="L124" s="233" t="s">
        <v>17</v>
      </c>
      <c r="M124" s="233" t="s">
        <v>34</v>
      </c>
      <c r="N124" s="233" t="s">
        <v>18</v>
      </c>
      <c r="O124" s="140"/>
    </row>
    <row r="125" spans="1:20" ht="19.149999999999999" customHeight="1" x14ac:dyDescent="0.25">
      <c r="A125" s="236"/>
      <c r="B125" s="239"/>
      <c r="C125" s="239"/>
      <c r="D125" s="239"/>
      <c r="E125" s="243"/>
      <c r="F125" s="244"/>
      <c r="G125" s="243"/>
      <c r="H125" s="244"/>
      <c r="I125" s="234"/>
      <c r="J125" s="234"/>
      <c r="K125" s="234"/>
      <c r="L125" s="234"/>
      <c r="M125" s="234"/>
      <c r="N125" s="236"/>
      <c r="O125" s="132"/>
    </row>
    <row r="126" spans="1:20" ht="19.149999999999999" customHeight="1" x14ac:dyDescent="0.25">
      <c r="A126" s="236"/>
      <c r="B126" s="239"/>
      <c r="C126" s="239"/>
      <c r="D126" s="239"/>
      <c r="E126" s="233" t="s">
        <v>10</v>
      </c>
      <c r="F126" s="233" t="s">
        <v>12</v>
      </c>
      <c r="G126" s="233" t="s">
        <v>14</v>
      </c>
      <c r="H126" s="233" t="s">
        <v>15</v>
      </c>
      <c r="I126" s="234"/>
      <c r="J126" s="234"/>
      <c r="K126" s="234"/>
      <c r="L126" s="234"/>
      <c r="M126" s="234"/>
      <c r="N126" s="236"/>
      <c r="O126" s="132"/>
    </row>
    <row r="127" spans="1:20" ht="28.9" customHeight="1" x14ac:dyDescent="0.25">
      <c r="A127" s="237"/>
      <c r="B127" s="240"/>
      <c r="C127" s="240"/>
      <c r="D127" s="240"/>
      <c r="E127" s="235"/>
      <c r="F127" s="235"/>
      <c r="G127" s="235"/>
      <c r="H127" s="235"/>
      <c r="I127" s="235"/>
      <c r="J127" s="235"/>
      <c r="K127" s="235"/>
      <c r="L127" s="235"/>
      <c r="M127" s="235"/>
      <c r="N127" s="237"/>
      <c r="O127" s="132"/>
    </row>
    <row r="128" spans="1:20" ht="21" customHeight="1" x14ac:dyDescent="0.25">
      <c r="A128" s="20" t="s">
        <v>98</v>
      </c>
      <c r="B128" s="21"/>
      <c r="C128" s="22"/>
      <c r="D128" s="23">
        <f>SUM(D122:D123)</f>
        <v>4285.6000000000004</v>
      </c>
      <c r="E128" s="5"/>
      <c r="F128" s="5"/>
      <c r="G128" s="5"/>
      <c r="H128" s="5"/>
      <c r="I128" s="5"/>
      <c r="J128" s="5"/>
      <c r="K128" s="5"/>
      <c r="L128" s="28"/>
      <c r="M128" s="46"/>
      <c r="N128" s="314">
        <f>SUM(N122:N123)</f>
        <v>228800</v>
      </c>
      <c r="O128" s="3"/>
    </row>
    <row r="129" spans="1:22" ht="21" customHeight="1" x14ac:dyDescent="0.25">
      <c r="A129" s="20" t="s">
        <v>7</v>
      </c>
      <c r="B129" s="21"/>
      <c r="C129" s="29"/>
      <c r="D129" s="30">
        <f>D128/C85</f>
        <v>82.415384615384625</v>
      </c>
      <c r="E129" s="30"/>
      <c r="F129" s="30"/>
      <c r="G129" s="30"/>
      <c r="H129" s="30"/>
      <c r="I129" s="30"/>
      <c r="J129" s="30"/>
      <c r="K129" s="30"/>
      <c r="L129" s="28"/>
      <c r="M129" s="15"/>
      <c r="N129" s="315"/>
      <c r="O129" s="3"/>
    </row>
    <row r="130" spans="1:22" ht="21" customHeight="1" x14ac:dyDescent="0.25">
      <c r="A130" s="307" t="s">
        <v>51</v>
      </c>
      <c r="B130" s="218"/>
      <c r="C130" s="53" t="s">
        <v>57</v>
      </c>
      <c r="D130" s="26" t="s">
        <v>49</v>
      </c>
      <c r="E130" s="30"/>
      <c r="F130" s="30"/>
      <c r="G130" s="30"/>
      <c r="H130" s="30"/>
      <c r="I130" s="30"/>
      <c r="J130" s="31"/>
      <c r="K130" s="31"/>
      <c r="L130" s="28"/>
      <c r="M130" s="28"/>
      <c r="N130" s="137"/>
      <c r="O130" s="3"/>
    </row>
    <row r="131" spans="1:22" ht="21" customHeight="1" x14ac:dyDescent="0.25">
      <c r="A131" s="219"/>
      <c r="B131" s="220"/>
      <c r="C131" s="54" t="s">
        <v>58</v>
      </c>
      <c r="D131" s="26">
        <f>D129*100/930</f>
        <v>8.8618693134822184</v>
      </c>
      <c r="E131" s="30"/>
      <c r="F131" s="30"/>
      <c r="G131" s="30"/>
      <c r="H131" s="30"/>
      <c r="I131" s="30"/>
      <c r="J131" s="31"/>
      <c r="K131" s="31"/>
      <c r="L131" s="28"/>
      <c r="M131" s="28"/>
      <c r="N131" s="137"/>
      <c r="O131" s="3"/>
    </row>
    <row r="132" spans="1:22" ht="21" customHeight="1" x14ac:dyDescent="0.25">
      <c r="A132" s="221" t="s">
        <v>99</v>
      </c>
      <c r="B132" s="222"/>
      <c r="C132" s="225"/>
      <c r="D132" s="227">
        <f>D103+D118+D128</f>
        <v>33524.888500000001</v>
      </c>
      <c r="E132" s="5">
        <f t="shared" ref="E132:I132" si="9">SUM(E91:E123)</f>
        <v>885.17459999999994</v>
      </c>
      <c r="F132" s="5">
        <f t="shared" si="9"/>
        <v>617.46265000000005</v>
      </c>
      <c r="G132" s="5">
        <f t="shared" si="9"/>
        <v>888.5838</v>
      </c>
      <c r="H132" s="5">
        <f t="shared" si="9"/>
        <v>373.30309999999997</v>
      </c>
      <c r="I132" s="278">
        <f t="shared" si="9"/>
        <v>3901.6522000000004</v>
      </c>
      <c r="J132" s="231">
        <f>SUM(J91:J123)</f>
        <v>10648.298500000001</v>
      </c>
      <c r="K132" s="229">
        <f>SUM(K91:K123)</f>
        <v>37.891010000000016</v>
      </c>
      <c r="L132" s="193"/>
      <c r="M132" s="193"/>
      <c r="N132" s="312">
        <f>N103+N118+N128</f>
        <v>1143890</v>
      </c>
    </row>
    <row r="133" spans="1:22" ht="21" customHeight="1" x14ac:dyDescent="0.25">
      <c r="A133" s="223"/>
      <c r="B133" s="224"/>
      <c r="C133" s="226"/>
      <c r="D133" s="228"/>
      <c r="E133" s="195">
        <f>E132+F132</f>
        <v>1502.63725</v>
      </c>
      <c r="F133" s="196"/>
      <c r="G133" s="195">
        <f>G132+H132</f>
        <v>1261.8869</v>
      </c>
      <c r="H133" s="196"/>
      <c r="I133" s="279"/>
      <c r="J133" s="232"/>
      <c r="K133" s="230"/>
      <c r="L133" s="193"/>
      <c r="M133" s="193"/>
      <c r="N133" s="312"/>
    </row>
    <row r="134" spans="1:22" ht="21" customHeight="1" x14ac:dyDescent="0.25">
      <c r="A134" s="200" t="s">
        <v>75</v>
      </c>
      <c r="B134" s="201"/>
      <c r="C134" s="202"/>
      <c r="D134" s="90">
        <f>D132/C85</f>
        <v>644.70939423076925</v>
      </c>
      <c r="E134" s="96">
        <f>E132/C85</f>
        <v>17.022588461538462</v>
      </c>
      <c r="F134" s="95">
        <f>F132/C85</f>
        <v>11.874281730769232</v>
      </c>
      <c r="G134" s="96">
        <f>G132/C85</f>
        <v>17.088149999999999</v>
      </c>
      <c r="H134" s="95">
        <f>H132/C85</f>
        <v>7.1789057692307683</v>
      </c>
      <c r="I134" s="206">
        <f>I132/C85</f>
        <v>75.031773076923088</v>
      </c>
      <c r="J134" s="206">
        <f>J132/C85</f>
        <v>204.77497115384617</v>
      </c>
      <c r="K134" s="206">
        <f>K132/C85</f>
        <v>0.72867326923076958</v>
      </c>
      <c r="L134" s="193"/>
      <c r="M134" s="193"/>
      <c r="N134" s="312"/>
    </row>
    <row r="135" spans="1:22" ht="21" customHeight="1" x14ac:dyDescent="0.25">
      <c r="A135" s="203"/>
      <c r="B135" s="204"/>
      <c r="C135" s="205"/>
      <c r="D135" s="88"/>
      <c r="E135" s="190">
        <f>E134+F134</f>
        <v>28.896870192307695</v>
      </c>
      <c r="F135" s="191"/>
      <c r="G135" s="190">
        <f>G134+H134</f>
        <v>24.267055769230765</v>
      </c>
      <c r="H135" s="191"/>
      <c r="I135" s="207"/>
      <c r="J135" s="207"/>
      <c r="K135" s="207"/>
      <c r="L135" s="193"/>
      <c r="M135" s="193"/>
      <c r="N135" s="312"/>
      <c r="P135" s="106"/>
      <c r="Q135" s="188"/>
      <c r="R135" s="188"/>
      <c r="S135" s="188"/>
      <c r="T135" s="188"/>
      <c r="U135" s="189"/>
      <c r="V135" s="189"/>
    </row>
    <row r="136" spans="1:22" ht="21" customHeight="1" x14ac:dyDescent="0.25">
      <c r="A136" s="211" t="s">
        <v>76</v>
      </c>
      <c r="B136" s="212"/>
      <c r="C136" s="213"/>
      <c r="D136" s="136" t="s">
        <v>28</v>
      </c>
      <c r="E136" s="184" t="s">
        <v>24</v>
      </c>
      <c r="F136" s="184"/>
      <c r="G136" s="184" t="s">
        <v>25</v>
      </c>
      <c r="H136" s="184"/>
      <c r="I136" s="136" t="s">
        <v>26</v>
      </c>
      <c r="J136" s="133">
        <v>500</v>
      </c>
      <c r="K136" s="133">
        <v>0.59</v>
      </c>
      <c r="L136" s="193"/>
      <c r="M136" s="193"/>
      <c r="N136" s="312"/>
      <c r="O136" s="147"/>
      <c r="P136" s="154"/>
      <c r="Q136" s="188"/>
      <c r="R136" s="188"/>
      <c r="S136" s="188"/>
      <c r="T136" s="188"/>
      <c r="U136" s="188"/>
      <c r="V136" s="188"/>
    </row>
    <row r="137" spans="1:22" ht="21" customHeight="1" x14ac:dyDescent="0.25">
      <c r="A137" s="180" t="s">
        <v>69</v>
      </c>
      <c r="B137" s="185"/>
      <c r="C137" s="181"/>
      <c r="D137" s="16"/>
      <c r="E137" s="186">
        <f>E135*4.1</f>
        <v>118.47716778846154</v>
      </c>
      <c r="F137" s="187"/>
      <c r="G137" s="186">
        <f>G135*9</f>
        <v>218.40350192307687</v>
      </c>
      <c r="H137" s="187"/>
      <c r="I137" s="60">
        <f>I134*4.1</f>
        <v>307.63026961538463</v>
      </c>
      <c r="J137" s="197"/>
      <c r="K137" s="197"/>
      <c r="L137" s="193"/>
      <c r="M137" s="193"/>
      <c r="N137" s="312"/>
      <c r="O137" s="147"/>
      <c r="P137" s="151"/>
      <c r="Q137" s="152"/>
      <c r="R137" s="152"/>
      <c r="S137" s="152"/>
      <c r="T137" s="106"/>
      <c r="U137" s="106"/>
      <c r="V137" s="106"/>
    </row>
    <row r="138" spans="1:22" ht="21" customHeight="1" x14ac:dyDescent="0.25">
      <c r="A138" s="176" t="s">
        <v>77</v>
      </c>
      <c r="B138" s="177"/>
      <c r="C138" s="180" t="s">
        <v>58</v>
      </c>
      <c r="D138" s="181"/>
      <c r="E138" s="182">
        <f>E137*100/D134</f>
        <v>18.376832856580567</v>
      </c>
      <c r="F138" s="183"/>
      <c r="G138" s="182">
        <f>G137*100/D134</f>
        <v>33.876271057545793</v>
      </c>
      <c r="H138" s="183"/>
      <c r="I138" s="75">
        <f>I137*100/D134</f>
        <v>47.716114014816192</v>
      </c>
      <c r="J138" s="198"/>
      <c r="K138" s="198"/>
      <c r="L138" s="193"/>
      <c r="M138" s="193"/>
      <c r="N138" s="312"/>
      <c r="O138" s="147"/>
      <c r="P138" s="106"/>
      <c r="Q138" s="153"/>
      <c r="R138" s="106"/>
      <c r="S138" s="106"/>
      <c r="T138" s="106"/>
      <c r="U138" s="106"/>
      <c r="V138" s="106"/>
    </row>
    <row r="139" spans="1:22" ht="21" customHeight="1" x14ac:dyDescent="0.25">
      <c r="A139" s="178"/>
      <c r="B139" s="179"/>
      <c r="C139" s="180" t="s">
        <v>71</v>
      </c>
      <c r="D139" s="181"/>
      <c r="E139" s="180" t="s">
        <v>72</v>
      </c>
      <c r="F139" s="181"/>
      <c r="G139" s="180" t="s">
        <v>78</v>
      </c>
      <c r="H139" s="181"/>
      <c r="I139" s="136" t="s">
        <v>79</v>
      </c>
      <c r="J139" s="199"/>
      <c r="K139" s="199"/>
      <c r="L139" s="193"/>
      <c r="M139" s="193"/>
      <c r="N139" s="312"/>
      <c r="O139" s="147"/>
    </row>
    <row r="140" spans="1:22" ht="21" customHeight="1" x14ac:dyDescent="0.25">
      <c r="A140" s="63"/>
      <c r="B140" s="64"/>
      <c r="C140" s="63"/>
      <c r="D140" s="63"/>
      <c r="E140" s="63"/>
      <c r="F140" s="63"/>
      <c r="G140" s="63"/>
      <c r="H140" s="63"/>
      <c r="I140" s="63"/>
      <c r="J140" s="63"/>
      <c r="K140" s="63"/>
      <c r="L140" s="65"/>
      <c r="M140" s="65"/>
      <c r="N140" s="66"/>
      <c r="O140" s="147"/>
      <c r="P140" s="2"/>
    </row>
    <row r="141" spans="1:22" ht="21" customHeight="1" x14ac:dyDescent="0.25">
      <c r="A141" s="172" t="s">
        <v>100</v>
      </c>
      <c r="B141" s="172"/>
      <c r="C141" s="172"/>
      <c r="D141" s="172"/>
      <c r="E141" s="172"/>
      <c r="F141" s="172"/>
      <c r="G141" s="172"/>
      <c r="H141" s="172"/>
      <c r="I141" s="172"/>
      <c r="J141" s="172"/>
      <c r="K141" s="172"/>
      <c r="L141" s="172"/>
      <c r="M141" s="172"/>
      <c r="N141" s="172"/>
      <c r="O141" s="147"/>
    </row>
    <row r="142" spans="1:22" ht="21" customHeight="1" x14ac:dyDescent="0.25">
      <c r="A142" s="77" t="s">
        <v>101</v>
      </c>
      <c r="B142" s="173" t="s">
        <v>102</v>
      </c>
      <c r="C142" s="173"/>
      <c r="D142" s="173"/>
      <c r="E142" s="173"/>
      <c r="F142" s="173"/>
      <c r="G142" s="173"/>
      <c r="H142" s="173"/>
      <c r="I142" s="173"/>
      <c r="J142" s="173"/>
      <c r="K142" s="173"/>
      <c r="L142" s="173"/>
      <c r="M142" s="173"/>
      <c r="N142" s="173"/>
      <c r="O142" s="147"/>
    </row>
    <row r="143" spans="1:22" ht="21" customHeight="1" x14ac:dyDescent="0.25">
      <c r="A143" s="78"/>
      <c r="B143" s="174" t="s">
        <v>196</v>
      </c>
      <c r="C143" s="174"/>
      <c r="D143" s="174"/>
      <c r="E143" s="174"/>
      <c r="F143" s="174"/>
      <c r="G143" s="174"/>
      <c r="H143" s="174"/>
      <c r="I143" s="174"/>
      <c r="J143" s="174"/>
      <c r="K143" s="174"/>
      <c r="L143" s="174"/>
      <c r="M143" s="174"/>
      <c r="N143" s="174"/>
      <c r="O143" s="147"/>
    </row>
    <row r="144" spans="1:22" ht="21" customHeight="1" x14ac:dyDescent="0.25">
      <c r="A144" s="78"/>
      <c r="B144" s="174" t="s">
        <v>173</v>
      </c>
      <c r="C144" s="174"/>
      <c r="D144" s="174"/>
      <c r="E144" s="174"/>
      <c r="F144" s="174"/>
      <c r="G144" s="174"/>
      <c r="H144" s="174"/>
      <c r="I144" s="174"/>
      <c r="J144" s="174"/>
      <c r="K144" s="174"/>
      <c r="L144" s="174"/>
      <c r="M144" s="174"/>
      <c r="N144" s="174"/>
      <c r="O144" s="147"/>
    </row>
    <row r="145" spans="1:15" ht="21" customHeight="1" x14ac:dyDescent="0.25">
      <c r="A145" s="78"/>
      <c r="B145" s="174" t="s">
        <v>156</v>
      </c>
      <c r="C145" s="174"/>
      <c r="D145" s="174"/>
      <c r="E145" s="174"/>
      <c r="F145" s="174"/>
      <c r="G145" s="174"/>
      <c r="H145" s="174"/>
      <c r="I145" s="174"/>
      <c r="J145" s="174"/>
      <c r="K145" s="174"/>
      <c r="L145" s="174"/>
      <c r="M145" s="174"/>
      <c r="N145" s="174"/>
      <c r="O145" s="147"/>
    </row>
    <row r="146" spans="1:15" ht="21" customHeight="1" x14ac:dyDescent="0.25">
      <c r="A146" s="63"/>
      <c r="B146" s="175" t="s">
        <v>107</v>
      </c>
      <c r="C146" s="175"/>
      <c r="D146" s="175"/>
      <c r="E146" s="175"/>
      <c r="F146" s="175"/>
      <c r="G146" s="175"/>
      <c r="H146" s="175"/>
      <c r="I146" s="175"/>
      <c r="J146" s="175"/>
      <c r="K146" s="175"/>
      <c r="L146" s="175"/>
      <c r="M146" s="175"/>
      <c r="N146" s="175"/>
      <c r="O146" s="147"/>
    </row>
    <row r="147" spans="1:15" ht="21" customHeight="1" x14ac:dyDescent="0.25">
      <c r="A147" s="63"/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79"/>
      <c r="M147" s="79"/>
      <c r="N147" s="80"/>
      <c r="O147" s="147"/>
    </row>
    <row r="148" spans="1:15" ht="21" customHeight="1" x14ac:dyDescent="0.25">
      <c r="A148" s="168" t="s">
        <v>60</v>
      </c>
      <c r="B148" s="168"/>
      <c r="C148" s="168"/>
      <c r="D148" s="168"/>
      <c r="E148" s="148"/>
      <c r="F148" s="148"/>
      <c r="G148" s="148"/>
      <c r="H148" s="148"/>
      <c r="I148" s="148"/>
      <c r="J148" s="169" t="s">
        <v>36</v>
      </c>
      <c r="K148" s="169"/>
      <c r="L148" s="169"/>
      <c r="M148" s="169"/>
      <c r="N148" s="169"/>
      <c r="O148" s="147"/>
    </row>
    <row r="149" spans="1:15" ht="21" customHeight="1" x14ac:dyDescent="0.25">
      <c r="A149" s="132"/>
      <c r="B149" s="132"/>
      <c r="C149" s="132"/>
      <c r="D149" s="148"/>
      <c r="E149" s="148"/>
      <c r="F149" s="148"/>
      <c r="G149" s="148"/>
      <c r="H149" s="149"/>
      <c r="I149" s="149"/>
      <c r="J149" s="149"/>
      <c r="K149" s="149"/>
      <c r="L149" s="149"/>
      <c r="M149" s="149"/>
      <c r="N149" s="149"/>
      <c r="O149" s="147"/>
    </row>
    <row r="150" spans="1:15" ht="21" customHeight="1" x14ac:dyDescent="0.25">
      <c r="A150" s="132"/>
      <c r="B150" s="132"/>
      <c r="C150" s="132"/>
      <c r="D150" s="148"/>
      <c r="E150" s="148"/>
      <c r="F150" s="148"/>
      <c r="G150" s="148"/>
      <c r="H150" s="149"/>
      <c r="I150" s="149"/>
      <c r="J150" s="149"/>
      <c r="K150" s="149"/>
      <c r="L150" s="149"/>
      <c r="M150" s="149"/>
      <c r="N150" s="149"/>
      <c r="O150" s="147"/>
    </row>
    <row r="151" spans="1:15" ht="21" customHeight="1" x14ac:dyDescent="0.25">
      <c r="A151" s="132"/>
      <c r="B151" s="132"/>
      <c r="C151" s="132"/>
      <c r="D151" s="148"/>
      <c r="E151" s="148"/>
      <c r="F151" s="148"/>
      <c r="G151" s="148"/>
      <c r="H151" s="149"/>
      <c r="I151" s="149"/>
      <c r="J151" s="170" t="s">
        <v>103</v>
      </c>
      <c r="K151" s="170"/>
      <c r="L151" s="170"/>
      <c r="M151" s="170"/>
      <c r="N151" s="170"/>
      <c r="O151" s="147"/>
    </row>
    <row r="152" spans="1:15" ht="21" customHeight="1" x14ac:dyDescent="0.25">
      <c r="A152" s="171" t="s">
        <v>84</v>
      </c>
      <c r="B152" s="171"/>
      <c r="C152" s="171"/>
      <c r="D152" s="171"/>
      <c r="E152" s="148"/>
      <c r="F152" s="148"/>
      <c r="G152" s="148"/>
      <c r="H152" s="149"/>
      <c r="I152" s="149"/>
      <c r="O152" s="147"/>
    </row>
    <row r="153" spans="1:15" ht="21" customHeight="1" x14ac:dyDescent="0.25">
      <c r="J153" s="149"/>
      <c r="K153" s="149"/>
      <c r="L153" s="149"/>
      <c r="M153" s="149"/>
      <c r="N153" s="149"/>
    </row>
    <row r="154" spans="1:15" ht="21" customHeight="1" x14ac:dyDescent="0.25">
      <c r="J154" s="170" t="s">
        <v>114</v>
      </c>
      <c r="K154" s="170"/>
      <c r="L154" s="170"/>
      <c r="M154" s="170"/>
      <c r="N154" s="170"/>
    </row>
  </sheetData>
  <mergeCells count="199">
    <mergeCell ref="F78:N78"/>
    <mergeCell ref="A80:D81"/>
    <mergeCell ref="E80:N80"/>
    <mergeCell ref="A67:D67"/>
    <mergeCell ref="J66:N66"/>
    <mergeCell ref="J69:N69"/>
    <mergeCell ref="A56:N56"/>
    <mergeCell ref="B57:N57"/>
    <mergeCell ref="B58:N58"/>
    <mergeCell ref="B59:N59"/>
    <mergeCell ref="B60:N60"/>
    <mergeCell ref="B61:N61"/>
    <mergeCell ref="A63:D63"/>
    <mergeCell ref="J63:N63"/>
    <mergeCell ref="E81:I81"/>
    <mergeCell ref="J81:N81"/>
    <mergeCell ref="C54:D54"/>
    <mergeCell ref="E54:F54"/>
    <mergeCell ref="G54:H54"/>
    <mergeCell ref="C47:C48"/>
    <mergeCell ref="J52:J54"/>
    <mergeCell ref="K52:K54"/>
    <mergeCell ref="F1:N1"/>
    <mergeCell ref="A5:D5"/>
    <mergeCell ref="A6:D6"/>
    <mergeCell ref="A7:D7"/>
    <mergeCell ref="A3:D3"/>
    <mergeCell ref="E3:N3"/>
    <mergeCell ref="A4:D4"/>
    <mergeCell ref="E4:I7"/>
    <mergeCell ref="J4:N7"/>
    <mergeCell ref="D47:D48"/>
    <mergeCell ref="E51:F51"/>
    <mergeCell ref="G51:H51"/>
    <mergeCell ref="A52:C52"/>
    <mergeCell ref="E52:F52"/>
    <mergeCell ref="G52:H52"/>
    <mergeCell ref="A8:B8"/>
    <mergeCell ref="C8:D8"/>
    <mergeCell ref="A47:B48"/>
    <mergeCell ref="Q51:R51"/>
    <mergeCell ref="S51:T51"/>
    <mergeCell ref="F11:F12"/>
    <mergeCell ref="G11:G12"/>
    <mergeCell ref="M39:M42"/>
    <mergeCell ref="N39:N42"/>
    <mergeCell ref="F41:F42"/>
    <mergeCell ref="G41:G42"/>
    <mergeCell ref="H41:H42"/>
    <mergeCell ref="J47:J48"/>
    <mergeCell ref="K47:K48"/>
    <mergeCell ref="J49:J50"/>
    <mergeCell ref="K49:K50"/>
    <mergeCell ref="I47:I48"/>
    <mergeCell ref="G39:H40"/>
    <mergeCell ref="I39:I42"/>
    <mergeCell ref="J39:J42"/>
    <mergeCell ref="K39:K42"/>
    <mergeCell ref="L39:L42"/>
    <mergeCell ref="N26:N27"/>
    <mergeCell ref="A13:N13"/>
    <mergeCell ref="A9:A12"/>
    <mergeCell ref="B9:B12"/>
    <mergeCell ref="C9:C12"/>
    <mergeCell ref="U51:V51"/>
    <mergeCell ref="A28:B29"/>
    <mergeCell ref="A30:B30"/>
    <mergeCell ref="N43:N44"/>
    <mergeCell ref="A45:B46"/>
    <mergeCell ref="E48:F48"/>
    <mergeCell ref="G48:H48"/>
    <mergeCell ref="I49:I50"/>
    <mergeCell ref="E50:F50"/>
    <mergeCell ref="G50:H50"/>
    <mergeCell ref="M47:M54"/>
    <mergeCell ref="N47:N54"/>
    <mergeCell ref="E53:F53"/>
    <mergeCell ref="G53:H53"/>
    <mergeCell ref="L47:L54"/>
    <mergeCell ref="A49:C50"/>
    <mergeCell ref="A51:C51"/>
    <mergeCell ref="A53:B54"/>
    <mergeCell ref="C53:D53"/>
    <mergeCell ref="E41:E42"/>
    <mergeCell ref="B39:B42"/>
    <mergeCell ref="C39:C42"/>
    <mergeCell ref="A39:A42"/>
    <mergeCell ref="D39:D42"/>
    <mergeCell ref="D9:D12"/>
    <mergeCell ref="E9:F10"/>
    <mergeCell ref="G9:H10"/>
    <mergeCell ref="I9:I12"/>
    <mergeCell ref="L9:L12"/>
    <mergeCell ref="N9:N12"/>
    <mergeCell ref="E11:E12"/>
    <mergeCell ref="E39:F40"/>
    <mergeCell ref="K9:K12"/>
    <mergeCell ref="M9:M12"/>
    <mergeCell ref="H11:H12"/>
    <mergeCell ref="J9:J12"/>
    <mergeCell ref="A82:D82"/>
    <mergeCell ref="E82:I84"/>
    <mergeCell ref="J82:N82"/>
    <mergeCell ref="A83:D83"/>
    <mergeCell ref="J83:N83"/>
    <mergeCell ref="A84:D84"/>
    <mergeCell ref="J84:N84"/>
    <mergeCell ref="A85:B85"/>
    <mergeCell ref="C85:D85"/>
    <mergeCell ref="L86:L89"/>
    <mergeCell ref="M86:M89"/>
    <mergeCell ref="N86:N89"/>
    <mergeCell ref="E88:E89"/>
    <mergeCell ref="F88:F89"/>
    <mergeCell ref="G88:G89"/>
    <mergeCell ref="H88:H89"/>
    <mergeCell ref="A90:N90"/>
    <mergeCell ref="N103:N104"/>
    <mergeCell ref="A86:A89"/>
    <mergeCell ref="B86:B89"/>
    <mergeCell ref="C86:C89"/>
    <mergeCell ref="D86:D89"/>
    <mergeCell ref="E86:F87"/>
    <mergeCell ref="G86:H87"/>
    <mergeCell ref="I86:I89"/>
    <mergeCell ref="J86:J89"/>
    <mergeCell ref="K86:K89"/>
    <mergeCell ref="A105:B106"/>
    <mergeCell ref="A107:B107"/>
    <mergeCell ref="N118:N119"/>
    <mergeCell ref="A120:B121"/>
    <mergeCell ref="A122:B122"/>
    <mergeCell ref="A124:A127"/>
    <mergeCell ref="B124:B127"/>
    <mergeCell ref="C124:C127"/>
    <mergeCell ref="D124:D127"/>
    <mergeCell ref="E124:F125"/>
    <mergeCell ref="G124:H125"/>
    <mergeCell ref="I124:I127"/>
    <mergeCell ref="J124:J127"/>
    <mergeCell ref="K124:K127"/>
    <mergeCell ref="L124:L127"/>
    <mergeCell ref="M124:M127"/>
    <mergeCell ref="N124:N127"/>
    <mergeCell ref="E126:E127"/>
    <mergeCell ref="F126:F127"/>
    <mergeCell ref="G126:G127"/>
    <mergeCell ref="H126:H127"/>
    <mergeCell ref="N128:N129"/>
    <mergeCell ref="A130:B131"/>
    <mergeCell ref="A132:B133"/>
    <mergeCell ref="C132:C133"/>
    <mergeCell ref="D132:D133"/>
    <mergeCell ref="I132:I133"/>
    <mergeCell ref="J132:J133"/>
    <mergeCell ref="K132:K133"/>
    <mergeCell ref="L132:L139"/>
    <mergeCell ref="M132:M139"/>
    <mergeCell ref="N132:N139"/>
    <mergeCell ref="E133:F133"/>
    <mergeCell ref="G133:H133"/>
    <mergeCell ref="A134:C135"/>
    <mergeCell ref="I134:I135"/>
    <mergeCell ref="J134:J135"/>
    <mergeCell ref="K134:K135"/>
    <mergeCell ref="E135:F135"/>
    <mergeCell ref="G135:H135"/>
    <mergeCell ref="A137:C137"/>
    <mergeCell ref="E137:F137"/>
    <mergeCell ref="G137:H137"/>
    <mergeCell ref="J137:J139"/>
    <mergeCell ref="K137:K139"/>
    <mergeCell ref="Q135:R135"/>
    <mergeCell ref="S135:T135"/>
    <mergeCell ref="U135:V135"/>
    <mergeCell ref="A136:C136"/>
    <mergeCell ref="E136:F136"/>
    <mergeCell ref="G136:H136"/>
    <mergeCell ref="Q136:R136"/>
    <mergeCell ref="S136:T136"/>
    <mergeCell ref="U136:V136"/>
    <mergeCell ref="A138:B139"/>
    <mergeCell ref="C138:D138"/>
    <mergeCell ref="E138:F138"/>
    <mergeCell ref="G138:H138"/>
    <mergeCell ref="C139:D139"/>
    <mergeCell ref="E139:F139"/>
    <mergeCell ref="G139:H139"/>
    <mergeCell ref="A141:N141"/>
    <mergeCell ref="B142:N142"/>
    <mergeCell ref="B143:N143"/>
    <mergeCell ref="B144:N144"/>
    <mergeCell ref="B145:N145"/>
    <mergeCell ref="B146:N146"/>
    <mergeCell ref="A148:D148"/>
    <mergeCell ref="J148:N148"/>
    <mergeCell ref="J151:N151"/>
    <mergeCell ref="A152:D152"/>
    <mergeCell ref="J154:N154"/>
  </mergeCells>
  <pageMargins left="0.25833333333333336" right="0.14583333333333334" top="0.42708333333333331" bottom="0.41666666666666669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56"/>
  <sheetViews>
    <sheetView view="pageLayout" workbookViewId="0">
      <selection activeCell="P133" sqref="P133"/>
    </sheetView>
  </sheetViews>
  <sheetFormatPr defaultColWidth="9.140625" defaultRowHeight="21" customHeight="1" x14ac:dyDescent="0.25"/>
  <cols>
    <col min="1" max="1" width="4" style="1" customWidth="1"/>
    <col min="2" max="2" width="11.85546875" style="1" customWidth="1"/>
    <col min="3" max="4" width="7.28515625" style="1" customWidth="1"/>
    <col min="5" max="8" width="6.85546875" style="1" customWidth="1"/>
    <col min="9" max="9" width="7.7109375" style="1" customWidth="1"/>
    <col min="10" max="10" width="7.42578125" style="1" customWidth="1"/>
    <col min="11" max="11" width="6.85546875" style="1" customWidth="1"/>
    <col min="12" max="12" width="6.7109375" style="1" customWidth="1"/>
    <col min="13" max="13" width="6.42578125" style="1" customWidth="1"/>
    <col min="14" max="14" width="8" style="1" customWidth="1"/>
    <col min="15" max="15" width="11.85546875" style="1" customWidth="1"/>
    <col min="16" max="16" width="9.140625" style="1"/>
    <col min="17" max="22" width="8.28515625" style="1" customWidth="1"/>
    <col min="23" max="16384" width="9.140625" style="1"/>
  </cols>
  <sheetData>
    <row r="1" spans="1:16" ht="21.6" customHeight="1" x14ac:dyDescent="0.3">
      <c r="A1" s="9" t="s">
        <v>59</v>
      </c>
      <c r="B1" s="6"/>
      <c r="C1" s="6"/>
      <c r="D1" s="6"/>
      <c r="E1" s="6"/>
      <c r="F1" s="265" t="s">
        <v>30</v>
      </c>
      <c r="G1" s="265"/>
      <c r="H1" s="265"/>
      <c r="I1" s="265"/>
      <c r="J1" s="265"/>
      <c r="K1" s="265"/>
      <c r="L1" s="265"/>
      <c r="M1" s="265"/>
      <c r="N1" s="265"/>
      <c r="O1" s="138"/>
      <c r="P1" s="138"/>
    </row>
    <row r="2" spans="1:16" ht="5.45" customHeight="1" x14ac:dyDescent="0.3">
      <c r="A2" s="9"/>
      <c r="B2" s="6"/>
      <c r="C2" s="6"/>
      <c r="D2" s="6"/>
      <c r="E2" s="6"/>
      <c r="F2" s="135"/>
      <c r="G2" s="135"/>
      <c r="H2" s="135"/>
      <c r="I2" s="135"/>
      <c r="J2" s="135"/>
      <c r="K2" s="135"/>
      <c r="L2" s="135"/>
      <c r="M2" s="135"/>
      <c r="N2" s="135"/>
      <c r="O2" s="138"/>
      <c r="P2" s="138"/>
    </row>
    <row r="3" spans="1:16" ht="21.6" customHeight="1" x14ac:dyDescent="0.3">
      <c r="A3" s="6" t="s">
        <v>197</v>
      </c>
      <c r="B3" s="6"/>
      <c r="C3" s="6"/>
      <c r="D3" s="6"/>
      <c r="E3" s="6"/>
      <c r="F3" s="135"/>
      <c r="G3" s="135"/>
      <c r="H3" s="135"/>
      <c r="I3" s="135"/>
      <c r="J3" s="135"/>
      <c r="K3" s="135"/>
      <c r="L3" s="135"/>
      <c r="M3" s="135"/>
      <c r="N3" s="135"/>
      <c r="O3" s="138"/>
      <c r="P3" s="138"/>
    </row>
    <row r="4" spans="1:16" ht="3.6" customHeight="1" x14ac:dyDescent="0.3">
      <c r="A4" s="6"/>
      <c r="B4" s="6"/>
      <c r="C4" s="6"/>
      <c r="D4" s="6"/>
      <c r="E4" s="6"/>
      <c r="F4" s="135"/>
      <c r="G4" s="135"/>
      <c r="H4" s="135"/>
      <c r="I4" s="135"/>
      <c r="J4" s="135"/>
      <c r="K4" s="135"/>
      <c r="L4" s="135"/>
      <c r="M4" s="135"/>
      <c r="N4" s="135"/>
      <c r="O4" s="138"/>
      <c r="P4" s="138"/>
    </row>
    <row r="5" spans="1:16" ht="21.6" customHeight="1" x14ac:dyDescent="0.25">
      <c r="A5" s="184" t="s">
        <v>95</v>
      </c>
      <c r="B5" s="184"/>
      <c r="C5" s="184"/>
      <c r="D5" s="184"/>
      <c r="E5" s="184" t="s">
        <v>93</v>
      </c>
      <c r="F5" s="184"/>
      <c r="G5" s="184"/>
      <c r="H5" s="184"/>
      <c r="I5" s="184"/>
      <c r="J5" s="184"/>
      <c r="K5" s="184"/>
      <c r="L5" s="184"/>
      <c r="M5" s="184"/>
      <c r="N5" s="184"/>
      <c r="O5" s="139"/>
    </row>
    <row r="6" spans="1:16" ht="21.6" customHeight="1" x14ac:dyDescent="0.25">
      <c r="A6" s="252" t="s">
        <v>83</v>
      </c>
      <c r="B6" s="252"/>
      <c r="C6" s="252"/>
      <c r="D6" s="252"/>
      <c r="E6" s="253" t="s">
        <v>131</v>
      </c>
      <c r="F6" s="253"/>
      <c r="G6" s="253"/>
      <c r="H6" s="253"/>
      <c r="I6" s="253"/>
      <c r="J6" s="284" t="s">
        <v>152</v>
      </c>
      <c r="K6" s="285"/>
      <c r="L6" s="285"/>
      <c r="M6" s="285"/>
      <c r="N6" s="286"/>
      <c r="O6" s="139"/>
    </row>
    <row r="7" spans="1:16" ht="21.6" customHeight="1" x14ac:dyDescent="0.25">
      <c r="A7" s="304" t="s">
        <v>150</v>
      </c>
      <c r="B7" s="304"/>
      <c r="C7" s="304"/>
      <c r="D7" s="304"/>
      <c r="E7" s="253"/>
      <c r="F7" s="253"/>
      <c r="G7" s="253"/>
      <c r="H7" s="253"/>
      <c r="I7" s="253"/>
      <c r="J7" s="287"/>
      <c r="K7" s="288"/>
      <c r="L7" s="288"/>
      <c r="M7" s="288"/>
      <c r="N7" s="289"/>
      <c r="O7" s="139"/>
    </row>
    <row r="8" spans="1:16" ht="21.6" customHeight="1" x14ac:dyDescent="0.25">
      <c r="A8" s="258" t="s">
        <v>153</v>
      </c>
      <c r="B8" s="259"/>
      <c r="C8" s="259"/>
      <c r="D8" s="260"/>
      <c r="E8" s="253"/>
      <c r="F8" s="253"/>
      <c r="G8" s="253"/>
      <c r="H8" s="253"/>
      <c r="I8" s="253"/>
      <c r="J8" s="287"/>
      <c r="K8" s="288"/>
      <c r="L8" s="288"/>
      <c r="M8" s="288"/>
      <c r="N8" s="289"/>
      <c r="O8" s="139"/>
    </row>
    <row r="9" spans="1:16" ht="21.6" customHeight="1" x14ac:dyDescent="0.25">
      <c r="A9" s="261" t="s">
        <v>149</v>
      </c>
      <c r="B9" s="261"/>
      <c r="C9" s="261"/>
      <c r="D9" s="261"/>
      <c r="E9" s="253"/>
      <c r="F9" s="253"/>
      <c r="G9" s="253"/>
      <c r="H9" s="253"/>
      <c r="I9" s="253"/>
      <c r="J9" s="290"/>
      <c r="K9" s="291"/>
      <c r="L9" s="291"/>
      <c r="M9" s="291"/>
      <c r="N9" s="292"/>
      <c r="O9" s="139"/>
    </row>
    <row r="10" spans="1:16" ht="21.6" customHeight="1" x14ac:dyDescent="0.25">
      <c r="A10" s="303" t="s">
        <v>110</v>
      </c>
      <c r="B10" s="303"/>
      <c r="C10" s="305">
        <v>122</v>
      </c>
      <c r="D10" s="305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139"/>
    </row>
    <row r="11" spans="1:16" ht="21.6" customHeight="1" x14ac:dyDescent="0.25">
      <c r="A11" s="233" t="s">
        <v>0</v>
      </c>
      <c r="B11" s="238" t="s">
        <v>19</v>
      </c>
      <c r="C11" s="238" t="s">
        <v>8</v>
      </c>
      <c r="D11" s="238" t="s">
        <v>9</v>
      </c>
      <c r="E11" s="241" t="s">
        <v>11</v>
      </c>
      <c r="F11" s="242"/>
      <c r="G11" s="241" t="s">
        <v>13</v>
      </c>
      <c r="H11" s="242"/>
      <c r="I11" s="233" t="s">
        <v>16</v>
      </c>
      <c r="J11" s="233" t="s">
        <v>32</v>
      </c>
      <c r="K11" s="233" t="s">
        <v>33</v>
      </c>
      <c r="L11" s="233" t="s">
        <v>17</v>
      </c>
      <c r="M11" s="233" t="s">
        <v>34</v>
      </c>
      <c r="N11" s="233" t="s">
        <v>18</v>
      </c>
      <c r="O11" s="140"/>
    </row>
    <row r="12" spans="1:16" ht="21.6" customHeight="1" x14ac:dyDescent="0.25">
      <c r="A12" s="236"/>
      <c r="B12" s="239"/>
      <c r="C12" s="239"/>
      <c r="D12" s="239"/>
      <c r="E12" s="243"/>
      <c r="F12" s="244"/>
      <c r="G12" s="243"/>
      <c r="H12" s="244"/>
      <c r="I12" s="234"/>
      <c r="J12" s="234"/>
      <c r="K12" s="234"/>
      <c r="L12" s="234"/>
      <c r="M12" s="234"/>
      <c r="N12" s="236"/>
      <c r="O12" s="132"/>
    </row>
    <row r="13" spans="1:16" ht="21.6" customHeight="1" x14ac:dyDescent="0.25">
      <c r="A13" s="236"/>
      <c r="B13" s="239"/>
      <c r="C13" s="239"/>
      <c r="D13" s="239"/>
      <c r="E13" s="233" t="s">
        <v>10</v>
      </c>
      <c r="F13" s="233" t="s">
        <v>12</v>
      </c>
      <c r="G13" s="233" t="s">
        <v>14</v>
      </c>
      <c r="H13" s="233" t="s">
        <v>15</v>
      </c>
      <c r="I13" s="234"/>
      <c r="J13" s="234"/>
      <c r="K13" s="234"/>
      <c r="L13" s="234"/>
      <c r="M13" s="234"/>
      <c r="N13" s="236"/>
      <c r="O13" s="132"/>
    </row>
    <row r="14" spans="1:16" ht="21.6" customHeight="1" x14ac:dyDescent="0.25">
      <c r="A14" s="237"/>
      <c r="B14" s="240"/>
      <c r="C14" s="240"/>
      <c r="D14" s="240"/>
      <c r="E14" s="235"/>
      <c r="F14" s="235"/>
      <c r="G14" s="235"/>
      <c r="H14" s="235"/>
      <c r="I14" s="235"/>
      <c r="J14" s="235"/>
      <c r="K14" s="235"/>
      <c r="L14" s="235"/>
      <c r="M14" s="235"/>
      <c r="N14" s="237"/>
      <c r="O14" s="132"/>
    </row>
    <row r="15" spans="1:16" ht="20.45" customHeight="1" x14ac:dyDescent="0.25">
      <c r="A15" s="246" t="s">
        <v>35</v>
      </c>
      <c r="B15" s="247"/>
      <c r="C15" s="247"/>
      <c r="D15" s="247"/>
      <c r="E15" s="247"/>
      <c r="F15" s="247"/>
      <c r="G15" s="247"/>
      <c r="H15" s="247"/>
      <c r="I15" s="247"/>
      <c r="J15" s="247"/>
      <c r="K15" s="247"/>
      <c r="L15" s="247"/>
      <c r="M15" s="247"/>
      <c r="N15" s="248"/>
      <c r="O15" s="132"/>
    </row>
    <row r="16" spans="1:16" ht="19.899999999999999" customHeight="1" x14ac:dyDescent="0.25">
      <c r="A16" s="7">
        <v>1</v>
      </c>
      <c r="B16" s="8" t="s">
        <v>2</v>
      </c>
      <c r="C16" s="10">
        <f>L16/100*100</f>
        <v>170</v>
      </c>
      <c r="D16" s="11">
        <f>C16/100*60</f>
        <v>102</v>
      </c>
      <c r="E16" s="12">
        <f>C16/100*15</f>
        <v>25.5</v>
      </c>
      <c r="F16" s="12"/>
      <c r="G16" s="12"/>
      <c r="H16" s="12"/>
      <c r="I16" s="12"/>
      <c r="J16" s="19">
        <f>C16/100*387</f>
        <v>657.9</v>
      </c>
      <c r="K16" s="19">
        <f>C16/100*0.09</f>
        <v>0.153</v>
      </c>
      <c r="L16" s="99">
        <v>170</v>
      </c>
      <c r="M16" s="17">
        <v>20</v>
      </c>
      <c r="N16" s="10">
        <f>L16*M16</f>
        <v>3400</v>
      </c>
      <c r="O16" s="3"/>
    </row>
    <row r="17" spans="1:20" ht="19.899999999999999" customHeight="1" x14ac:dyDescent="0.25">
      <c r="A17" s="7">
        <v>2</v>
      </c>
      <c r="B17" s="116" t="s">
        <v>126</v>
      </c>
      <c r="C17" s="10">
        <f t="shared" ref="C17" si="0">L17/100*100</f>
        <v>120</v>
      </c>
      <c r="D17" s="57">
        <f>C17/100*900</f>
        <v>1080</v>
      </c>
      <c r="E17" s="12"/>
      <c r="F17" s="12"/>
      <c r="G17" s="81"/>
      <c r="H17" s="12">
        <f>C17/100*100</f>
        <v>120</v>
      </c>
      <c r="I17" s="12"/>
      <c r="J17" s="12"/>
      <c r="K17" s="12"/>
      <c r="L17" s="99">
        <v>120</v>
      </c>
      <c r="M17" s="57">
        <v>63.5</v>
      </c>
      <c r="N17" s="83">
        <f t="shared" ref="N17:N26" si="1">L17*M17</f>
        <v>7620</v>
      </c>
      <c r="O17" s="141"/>
    </row>
    <row r="18" spans="1:20" ht="19.899999999999999" customHeight="1" x14ac:dyDescent="0.25">
      <c r="A18" s="7">
        <v>3</v>
      </c>
      <c r="B18" s="4" t="s">
        <v>1</v>
      </c>
      <c r="C18" s="10">
        <f>L18/100*100</f>
        <v>11590</v>
      </c>
      <c r="D18" s="57">
        <f>C18/100*338</f>
        <v>39174.200000000004</v>
      </c>
      <c r="E18" s="12"/>
      <c r="F18" s="12">
        <f>C18/100*7.9</f>
        <v>915.61000000000013</v>
      </c>
      <c r="G18" s="12"/>
      <c r="H18" s="12">
        <f>C18/100*1</f>
        <v>115.9</v>
      </c>
      <c r="I18" s="12">
        <f>C18/100*72</f>
        <v>8344.8000000000011</v>
      </c>
      <c r="J18" s="56">
        <f>C18/100*30</f>
        <v>3477</v>
      </c>
      <c r="K18" s="19">
        <f>C18/100*0.1</f>
        <v>11.590000000000002</v>
      </c>
      <c r="L18" s="99">
        <v>11590</v>
      </c>
      <c r="M18" s="17">
        <v>18</v>
      </c>
      <c r="N18" s="10">
        <f t="shared" si="1"/>
        <v>208620</v>
      </c>
      <c r="O18" s="3"/>
    </row>
    <row r="19" spans="1:20" ht="19.899999999999999" customHeight="1" x14ac:dyDescent="0.25">
      <c r="A19" s="7">
        <v>4</v>
      </c>
      <c r="B19" s="4" t="s">
        <v>91</v>
      </c>
      <c r="C19" s="10">
        <f>L19/100*88</f>
        <v>4294.3999999999996</v>
      </c>
      <c r="D19" s="11">
        <f>C19/100*184</f>
        <v>7901.695999999999</v>
      </c>
      <c r="E19" s="12">
        <f>C19/100*13</f>
        <v>558.27199999999993</v>
      </c>
      <c r="F19" s="12"/>
      <c r="G19" s="12">
        <f>C19/100*14.2</f>
        <v>609.80479999999989</v>
      </c>
      <c r="H19" s="12"/>
      <c r="I19" s="12">
        <f>C19/100*1</f>
        <v>42.943999999999996</v>
      </c>
      <c r="J19" s="56">
        <f>C19/100*71</f>
        <v>3049.0239999999999</v>
      </c>
      <c r="K19" s="19">
        <f>C19/100*0.15</f>
        <v>6.4415999999999993</v>
      </c>
      <c r="L19" s="99">
        <v>4880</v>
      </c>
      <c r="M19" s="17">
        <v>62</v>
      </c>
      <c r="N19" s="10">
        <f t="shared" si="1"/>
        <v>302560</v>
      </c>
      <c r="O19" s="3"/>
      <c r="Q19" s="2"/>
      <c r="R19" s="2"/>
      <c r="S19" s="3"/>
    </row>
    <row r="20" spans="1:20" s="106" customFormat="1" ht="19.899999999999999" customHeight="1" x14ac:dyDescent="0.25">
      <c r="A20" s="120">
        <v>5</v>
      </c>
      <c r="B20" s="116" t="s">
        <v>67</v>
      </c>
      <c r="C20" s="101">
        <f>L20/100*98</f>
        <v>3341.8</v>
      </c>
      <c r="D20" s="121">
        <f>C20/100*139</f>
        <v>4645.1019999999999</v>
      </c>
      <c r="E20" s="92">
        <f>C20/100*19</f>
        <v>634.94200000000001</v>
      </c>
      <c r="F20" s="92"/>
      <c r="G20" s="92">
        <f>C20/100*7</f>
        <v>233.92599999999999</v>
      </c>
      <c r="H20" s="92"/>
      <c r="I20" s="92"/>
      <c r="J20" s="122">
        <f>C20/100*7</f>
        <v>233.92599999999999</v>
      </c>
      <c r="K20" s="122">
        <f>C20/100*0.9</f>
        <v>30.0762</v>
      </c>
      <c r="L20" s="99">
        <v>3410</v>
      </c>
      <c r="M20" s="123">
        <v>130</v>
      </c>
      <c r="N20" s="102">
        <f t="shared" si="1"/>
        <v>443300</v>
      </c>
      <c r="O20" s="142"/>
    </row>
    <row r="21" spans="1:20" ht="19.899999999999999" customHeight="1" x14ac:dyDescent="0.25">
      <c r="A21" s="7">
        <v>6</v>
      </c>
      <c r="B21" s="4" t="s">
        <v>4</v>
      </c>
      <c r="C21" s="10">
        <f>L21/100*98</f>
        <v>1195.5999999999999</v>
      </c>
      <c r="D21" s="11">
        <f>C21/100*118</f>
        <v>1410.808</v>
      </c>
      <c r="E21" s="12">
        <f>C21/100*21</f>
        <v>251.07599999999999</v>
      </c>
      <c r="F21" s="12"/>
      <c r="G21" s="12">
        <f>C21/100*3.8</f>
        <v>45.432799999999993</v>
      </c>
      <c r="H21" s="12"/>
      <c r="I21" s="12"/>
      <c r="J21" s="19">
        <f>C21/100*12</f>
        <v>143.47199999999998</v>
      </c>
      <c r="K21" s="19">
        <f>C21/100*0.1</f>
        <v>1.1956</v>
      </c>
      <c r="L21" s="99">
        <v>1220</v>
      </c>
      <c r="M21" s="13">
        <v>250</v>
      </c>
      <c r="N21" s="83">
        <f t="shared" si="1"/>
        <v>305000</v>
      </c>
      <c r="O21" s="142"/>
      <c r="Q21" s="2"/>
      <c r="R21" s="2"/>
      <c r="S21" s="3"/>
    </row>
    <row r="22" spans="1:20" ht="19.899999999999999" customHeight="1" x14ac:dyDescent="0.25">
      <c r="A22" s="7">
        <v>7</v>
      </c>
      <c r="B22" s="4" t="s">
        <v>20</v>
      </c>
      <c r="C22" s="10">
        <f>L22/100*95</f>
        <v>1747.9999999999998</v>
      </c>
      <c r="D22" s="11">
        <f>C22/100*20</f>
        <v>349.59999999999991</v>
      </c>
      <c r="E22" s="12"/>
      <c r="F22" s="12">
        <f>C22/100*0.6</f>
        <v>10.487999999999998</v>
      </c>
      <c r="G22" s="12"/>
      <c r="H22" s="12">
        <f>C22/100*0.2</f>
        <v>3.4959999999999996</v>
      </c>
      <c r="I22" s="12">
        <f>C22/100*4</f>
        <v>69.919999999999987</v>
      </c>
      <c r="J22" s="18">
        <f>C22/100*12</f>
        <v>209.75999999999996</v>
      </c>
      <c r="K22" s="18">
        <f>C22/100*0.04</f>
        <v>0.69919999999999993</v>
      </c>
      <c r="L22" s="143">
        <v>1840</v>
      </c>
      <c r="M22" s="13">
        <v>40</v>
      </c>
      <c r="N22" s="10">
        <f t="shared" si="1"/>
        <v>73600</v>
      </c>
      <c r="O22" s="3"/>
      <c r="Q22" s="2"/>
      <c r="R22" s="2"/>
    </row>
    <row r="23" spans="1:20" ht="19.899999999999999" customHeight="1" x14ac:dyDescent="0.25">
      <c r="A23" s="7">
        <v>8</v>
      </c>
      <c r="B23" s="4" t="s">
        <v>80</v>
      </c>
      <c r="C23" s="10">
        <f>L23/100*78</f>
        <v>1903.1999999999998</v>
      </c>
      <c r="D23" s="11">
        <f>C23/100*37</f>
        <v>704.18399999999986</v>
      </c>
      <c r="E23" s="14"/>
      <c r="F23" s="14">
        <f>C23/100*2.8</f>
        <v>53.289599999999986</v>
      </c>
      <c r="G23" s="14"/>
      <c r="H23" s="14">
        <f>C23/100*0.1</f>
        <v>1.9031999999999998</v>
      </c>
      <c r="I23" s="14">
        <f>C23/100*6.2</f>
        <v>117.99839999999998</v>
      </c>
      <c r="J23" s="18">
        <f>C23/100*46</f>
        <v>875.47199999999987</v>
      </c>
      <c r="K23" s="18">
        <f>C23/100*0.06</f>
        <v>1.1419199999999998</v>
      </c>
      <c r="L23" s="143">
        <v>2440</v>
      </c>
      <c r="M23" s="13">
        <v>22</v>
      </c>
      <c r="N23" s="10">
        <f t="shared" si="1"/>
        <v>53680</v>
      </c>
      <c r="O23" s="3"/>
      <c r="Q23" s="2"/>
      <c r="R23" s="2"/>
      <c r="S23" s="3"/>
    </row>
    <row r="24" spans="1:20" ht="19.899999999999999" customHeight="1" x14ac:dyDescent="0.25">
      <c r="A24" s="120">
        <v>9</v>
      </c>
      <c r="B24" s="4" t="s">
        <v>117</v>
      </c>
      <c r="C24" s="10">
        <f>L24/100*100</f>
        <v>120</v>
      </c>
      <c r="D24" s="11">
        <f>C24/100*247</f>
        <v>296.39999999999998</v>
      </c>
      <c r="E24" s="14"/>
      <c r="F24" s="14">
        <f>C24/100*17.5</f>
        <v>21</v>
      </c>
      <c r="G24" s="14"/>
      <c r="H24" s="14">
        <f>C24/100*1.6</f>
        <v>1.92</v>
      </c>
      <c r="I24" s="14">
        <f>C24/100*39.2</f>
        <v>47.04</v>
      </c>
      <c r="J24" s="18"/>
      <c r="K24" s="18"/>
      <c r="L24" s="143">
        <v>120</v>
      </c>
      <c r="M24" s="17">
        <v>50</v>
      </c>
      <c r="N24" s="101">
        <f t="shared" si="1"/>
        <v>6000</v>
      </c>
      <c r="O24" s="3"/>
      <c r="Q24" s="2"/>
      <c r="R24" s="2"/>
      <c r="S24" s="3"/>
      <c r="T24" s="2"/>
    </row>
    <row r="25" spans="1:20" ht="19.899999999999999" customHeight="1" x14ac:dyDescent="0.25">
      <c r="A25" s="7">
        <v>10</v>
      </c>
      <c r="B25" s="4" t="s">
        <v>139</v>
      </c>
      <c r="C25" s="10">
        <f>L25/100*87</f>
        <v>3184.2000000000003</v>
      </c>
      <c r="D25" s="11">
        <f>C25/100*21</f>
        <v>668.68200000000002</v>
      </c>
      <c r="E25" s="14"/>
      <c r="F25" s="14">
        <f>C25/100*1.5</f>
        <v>47.763000000000005</v>
      </c>
      <c r="G25" s="14"/>
      <c r="H25" s="14">
        <f>C25/100*0.1</f>
        <v>3.1842000000000006</v>
      </c>
      <c r="I25" s="14">
        <f>C25/100*3.6</f>
        <v>114.63120000000001</v>
      </c>
      <c r="J25" s="111">
        <f>C25/100*40</f>
        <v>1273.68</v>
      </c>
      <c r="K25" s="14">
        <f>C25/100*0.06</f>
        <v>1.91052</v>
      </c>
      <c r="L25" s="144">
        <v>3660</v>
      </c>
      <c r="M25" s="13">
        <v>18</v>
      </c>
      <c r="N25" s="10">
        <f t="shared" si="1"/>
        <v>65880</v>
      </c>
      <c r="O25" s="3"/>
      <c r="Q25" s="2"/>
      <c r="R25" s="2"/>
      <c r="S25" s="3"/>
    </row>
    <row r="26" spans="1:20" ht="19.899999999999999" customHeight="1" x14ac:dyDescent="0.25">
      <c r="A26" s="7">
        <v>11</v>
      </c>
      <c r="B26" s="4" t="s">
        <v>5</v>
      </c>
      <c r="C26" s="10">
        <f>L26/100*98.5</f>
        <v>1191.8499999999999</v>
      </c>
      <c r="D26" s="11">
        <f>C26/100*39</f>
        <v>464.82150000000001</v>
      </c>
      <c r="E26" s="14"/>
      <c r="F26" s="14">
        <f>C26/100*1.5</f>
        <v>17.877749999999999</v>
      </c>
      <c r="G26" s="14"/>
      <c r="H26" s="14">
        <f>C26/100*0.2</f>
        <v>2.3837000000000002</v>
      </c>
      <c r="I26" s="14">
        <f>C26/100*7.8</f>
        <v>92.964299999999994</v>
      </c>
      <c r="J26" s="18">
        <f>C26/100*43</f>
        <v>512.49549999999999</v>
      </c>
      <c r="K26" s="18">
        <f>C26/100*0.06</f>
        <v>0.71510999999999991</v>
      </c>
      <c r="L26" s="144">
        <v>1210</v>
      </c>
      <c r="M26" s="13">
        <v>17</v>
      </c>
      <c r="N26" s="10">
        <f t="shared" si="1"/>
        <v>20570</v>
      </c>
      <c r="O26" s="3"/>
      <c r="Q26" s="2"/>
      <c r="R26" s="2"/>
      <c r="S26" s="3"/>
    </row>
    <row r="27" spans="1:20" ht="19.899999999999999" customHeight="1" x14ac:dyDescent="0.25">
      <c r="A27" s="7">
        <v>12</v>
      </c>
      <c r="B27" s="8" t="s">
        <v>111</v>
      </c>
      <c r="C27" s="10"/>
      <c r="D27" s="11"/>
      <c r="E27" s="12"/>
      <c r="F27" s="12"/>
      <c r="G27" s="12"/>
      <c r="H27" s="12"/>
      <c r="I27" s="12"/>
      <c r="J27" s="12"/>
      <c r="K27" s="12"/>
      <c r="L27" s="13"/>
      <c r="M27" s="13"/>
      <c r="N27" s="10">
        <v>9750</v>
      </c>
      <c r="O27" s="3"/>
    </row>
    <row r="28" spans="1:20" ht="19.899999999999999" customHeight="1" x14ac:dyDescent="0.25">
      <c r="A28" s="20" t="s">
        <v>97</v>
      </c>
      <c r="B28" s="21"/>
      <c r="C28" s="22"/>
      <c r="D28" s="84">
        <f>SUM(D16:D27)</f>
        <v>56797.493499999997</v>
      </c>
      <c r="E28" s="24"/>
      <c r="F28" s="24"/>
      <c r="G28" s="24"/>
      <c r="H28" s="24"/>
      <c r="I28" s="24"/>
      <c r="J28" s="24"/>
      <c r="K28" s="24"/>
      <c r="L28" s="25"/>
      <c r="M28" s="25"/>
      <c r="N28" s="322">
        <f>SUM(N16:N27)</f>
        <v>1499980</v>
      </c>
      <c r="O28" s="3"/>
    </row>
    <row r="29" spans="1:20" ht="19.899999999999999" customHeight="1" x14ac:dyDescent="0.25">
      <c r="A29" s="20" t="s">
        <v>6</v>
      </c>
      <c r="B29" s="21"/>
      <c r="C29" s="22"/>
      <c r="D29" s="23">
        <f>D28/C10</f>
        <v>465.55322540983605</v>
      </c>
      <c r="E29" s="24"/>
      <c r="F29" s="24"/>
      <c r="G29" s="24"/>
      <c r="H29" s="24"/>
      <c r="I29" s="24"/>
      <c r="J29" s="24"/>
      <c r="K29" s="24"/>
      <c r="L29" s="25"/>
      <c r="M29" s="25"/>
      <c r="N29" s="323"/>
      <c r="O29" s="3"/>
    </row>
    <row r="30" spans="1:20" ht="19.899999999999999" customHeight="1" x14ac:dyDescent="0.25">
      <c r="A30" s="307" t="s">
        <v>50</v>
      </c>
      <c r="B30" s="218"/>
      <c r="C30" s="145" t="s">
        <v>132</v>
      </c>
      <c r="D30" s="26" t="s">
        <v>38</v>
      </c>
      <c r="E30" s="24"/>
      <c r="F30" s="24"/>
      <c r="G30" s="24"/>
      <c r="H30" s="24"/>
      <c r="I30" s="24"/>
      <c r="J30" s="24"/>
      <c r="K30" s="24"/>
      <c r="L30" s="25"/>
      <c r="M30" s="25"/>
      <c r="N30" s="27"/>
      <c r="O30" s="3"/>
    </row>
    <row r="31" spans="1:20" ht="19.899999999999999" customHeight="1" x14ac:dyDescent="0.25">
      <c r="A31" s="219"/>
      <c r="B31" s="220"/>
      <c r="C31" s="54" t="s">
        <v>58</v>
      </c>
      <c r="D31" s="26">
        <f>D29*100/1320</f>
        <v>35.269183743169393</v>
      </c>
      <c r="E31" s="24"/>
      <c r="F31" s="24"/>
      <c r="G31" s="24"/>
      <c r="H31" s="24"/>
      <c r="I31" s="24"/>
      <c r="J31" s="24"/>
      <c r="K31" s="24"/>
      <c r="L31" s="25"/>
      <c r="M31" s="25"/>
      <c r="N31" s="27"/>
      <c r="O31" s="3"/>
    </row>
    <row r="32" spans="1:20" ht="19.899999999999999" customHeight="1" x14ac:dyDescent="0.3">
      <c r="A32" s="245" t="s">
        <v>39</v>
      </c>
      <c r="B32" s="245"/>
      <c r="C32" s="39"/>
      <c r="D32" s="40"/>
      <c r="E32" s="41"/>
      <c r="F32" s="41"/>
      <c r="G32" s="41"/>
      <c r="H32" s="41"/>
      <c r="I32" s="41"/>
      <c r="J32" s="41"/>
      <c r="K32" s="41"/>
      <c r="L32" s="42"/>
      <c r="M32" s="42"/>
      <c r="N32" s="43"/>
      <c r="O32" s="3"/>
    </row>
    <row r="33" spans="1:20" ht="19.899999999999999" customHeight="1" x14ac:dyDescent="0.25">
      <c r="A33" s="7">
        <v>1</v>
      </c>
      <c r="B33" s="8" t="s">
        <v>2</v>
      </c>
      <c r="C33" s="10">
        <f>L33/100*100</f>
        <v>150</v>
      </c>
      <c r="D33" s="11">
        <f>C33/100*60</f>
        <v>90</v>
      </c>
      <c r="E33" s="12">
        <f>C33/100*15</f>
        <v>22.5</v>
      </c>
      <c r="F33" s="12"/>
      <c r="G33" s="12"/>
      <c r="H33" s="12"/>
      <c r="I33" s="12"/>
      <c r="J33" s="19">
        <f>C33/100*387</f>
        <v>580.5</v>
      </c>
      <c r="K33" s="19">
        <f>C33/100*0.09</f>
        <v>0.13500000000000001</v>
      </c>
      <c r="L33" s="99">
        <v>150</v>
      </c>
      <c r="M33" s="17">
        <v>20</v>
      </c>
      <c r="N33" s="10">
        <f>L33*M33</f>
        <v>3000</v>
      </c>
      <c r="O33" s="3"/>
    </row>
    <row r="34" spans="1:20" ht="19.899999999999999" customHeight="1" x14ac:dyDescent="0.25">
      <c r="A34" s="7">
        <v>2</v>
      </c>
      <c r="B34" s="4" t="s">
        <v>1</v>
      </c>
      <c r="C34" s="10">
        <f>L34/100*100</f>
        <v>1830</v>
      </c>
      <c r="D34" s="11">
        <f>C34/100*338</f>
        <v>6185.4000000000005</v>
      </c>
      <c r="E34" s="12"/>
      <c r="F34" s="12">
        <f>C34/100*7.9</f>
        <v>144.57000000000002</v>
      </c>
      <c r="G34" s="12"/>
      <c r="H34" s="12">
        <f>C34/100*1</f>
        <v>18.3</v>
      </c>
      <c r="I34" s="12">
        <f>C34/100*72</f>
        <v>1317.6000000000001</v>
      </c>
      <c r="J34" s="19">
        <f>C34/100*30</f>
        <v>549</v>
      </c>
      <c r="K34" s="19">
        <f>C34/100*0.1</f>
        <v>1.83</v>
      </c>
      <c r="L34" s="99">
        <v>1830</v>
      </c>
      <c r="M34" s="17">
        <v>18</v>
      </c>
      <c r="N34" s="10">
        <f t="shared" ref="N34:N41" si="2">L34*M34</f>
        <v>32940</v>
      </c>
      <c r="O34" s="3"/>
    </row>
    <row r="35" spans="1:20" ht="19.899999999999999" customHeight="1" x14ac:dyDescent="0.25">
      <c r="A35" s="7">
        <v>3</v>
      </c>
      <c r="B35" s="4" t="s">
        <v>65</v>
      </c>
      <c r="C35" s="10">
        <f>L35/100*100</f>
        <v>1220</v>
      </c>
      <c r="D35" s="11">
        <f>C35/100*344</f>
        <v>4196.8</v>
      </c>
      <c r="E35" s="12"/>
      <c r="F35" s="12">
        <f>C35/100*8.6</f>
        <v>104.91999999999999</v>
      </c>
      <c r="G35" s="12"/>
      <c r="H35" s="12">
        <f>C35/100*1.5</f>
        <v>18.299999999999997</v>
      </c>
      <c r="I35" s="12">
        <f>C35/100*74.5</f>
        <v>908.9</v>
      </c>
      <c r="J35" s="12">
        <f>C35/100*32</f>
        <v>390.4</v>
      </c>
      <c r="K35" s="12">
        <f>C35/100*0.14</f>
        <v>1.708</v>
      </c>
      <c r="L35" s="99">
        <v>1220</v>
      </c>
      <c r="M35" s="17">
        <v>30</v>
      </c>
      <c r="N35" s="10">
        <f t="shared" si="2"/>
        <v>36600</v>
      </c>
      <c r="O35" s="3"/>
      <c r="P35" s="146"/>
    </row>
    <row r="36" spans="1:20" ht="19.899999999999999" customHeight="1" x14ac:dyDescent="0.25">
      <c r="A36" s="7">
        <v>4</v>
      </c>
      <c r="B36" s="118" t="s">
        <v>121</v>
      </c>
      <c r="C36" s="10">
        <f>L36/100*100</f>
        <v>740</v>
      </c>
      <c r="D36" s="11">
        <f>C36/100*899</f>
        <v>6652.6</v>
      </c>
      <c r="E36" s="12"/>
      <c r="F36" s="12"/>
      <c r="G36" s="12">
        <f>C36/100*100</f>
        <v>740</v>
      </c>
      <c r="H36" s="12"/>
      <c r="I36" s="12"/>
      <c r="J36" s="19"/>
      <c r="K36" s="19"/>
      <c r="L36" s="99">
        <v>740</v>
      </c>
      <c r="M36" s="98">
        <v>68</v>
      </c>
      <c r="N36" s="101">
        <f t="shared" si="2"/>
        <v>50320</v>
      </c>
      <c r="O36" s="3"/>
    </row>
    <row r="37" spans="1:20" ht="19.899999999999999" customHeight="1" x14ac:dyDescent="0.25">
      <c r="A37" s="7">
        <v>5</v>
      </c>
      <c r="B37" s="117" t="s">
        <v>80</v>
      </c>
      <c r="C37" s="10">
        <f>L37/100*82</f>
        <v>2000.8</v>
      </c>
      <c r="D37" s="11">
        <f>C37/100*27</f>
        <v>540.21600000000001</v>
      </c>
      <c r="E37" s="14"/>
      <c r="F37" s="14">
        <f>C37/100*0.3</f>
        <v>6.0023999999999997</v>
      </c>
      <c r="G37" s="14"/>
      <c r="H37" s="14">
        <f>C37/100*0.1</f>
        <v>2.0007999999999999</v>
      </c>
      <c r="I37" s="14">
        <f>C37/100*6.1</f>
        <v>122.04879999999999</v>
      </c>
      <c r="J37" s="18">
        <f>C37/100*24</f>
        <v>480.19200000000001</v>
      </c>
      <c r="K37" s="18">
        <f>C37/100*0.03</f>
        <v>0.60024</v>
      </c>
      <c r="L37" s="144">
        <v>2440</v>
      </c>
      <c r="M37" s="13">
        <v>22</v>
      </c>
      <c r="N37" s="10">
        <f t="shared" si="2"/>
        <v>53680</v>
      </c>
      <c r="O37" s="3"/>
      <c r="Q37" s="2"/>
      <c r="R37" s="2"/>
      <c r="S37" s="3"/>
    </row>
    <row r="38" spans="1:20" ht="19.899999999999999" customHeight="1" x14ac:dyDescent="0.25">
      <c r="A38" s="7">
        <v>6</v>
      </c>
      <c r="B38" s="4" t="s">
        <v>4</v>
      </c>
      <c r="C38" s="10">
        <f>L38/100*98</f>
        <v>1264.2</v>
      </c>
      <c r="D38" s="11">
        <f>C38/100*118</f>
        <v>1491.7560000000001</v>
      </c>
      <c r="E38" s="12">
        <f>C38/100*21</f>
        <v>265.48200000000003</v>
      </c>
      <c r="F38" s="12"/>
      <c r="G38" s="12">
        <f>C38/100*3.8</f>
        <v>48.0396</v>
      </c>
      <c r="H38" s="12"/>
      <c r="I38" s="12"/>
      <c r="J38" s="19">
        <f>C38/100*12</f>
        <v>151.70400000000001</v>
      </c>
      <c r="K38" s="19">
        <f>C38/100*0.1</f>
        <v>1.2642000000000002</v>
      </c>
      <c r="L38" s="99">
        <v>1290</v>
      </c>
      <c r="M38" s="13">
        <v>250</v>
      </c>
      <c r="N38" s="83">
        <f t="shared" si="2"/>
        <v>322500</v>
      </c>
      <c r="O38" s="142"/>
      <c r="Q38" s="2"/>
      <c r="R38" s="2"/>
      <c r="S38" s="3"/>
    </row>
    <row r="39" spans="1:20" ht="17.45" customHeight="1" x14ac:dyDescent="0.25">
      <c r="A39" s="7">
        <v>7</v>
      </c>
      <c r="B39" s="4" t="s">
        <v>3</v>
      </c>
      <c r="C39" s="10">
        <f>L39/100*48</f>
        <v>758.40000000000009</v>
      </c>
      <c r="D39" s="11">
        <f>C39/100*199</f>
        <v>1509.2160000000001</v>
      </c>
      <c r="E39" s="12">
        <f>C39/100*20.3</f>
        <v>153.95520000000002</v>
      </c>
      <c r="F39" s="12"/>
      <c r="G39" s="12">
        <f>C39/100*13.1</f>
        <v>99.350400000000008</v>
      </c>
      <c r="H39" s="12"/>
      <c r="I39" s="12"/>
      <c r="J39" s="19">
        <f>C39/100*12</f>
        <v>91.00800000000001</v>
      </c>
      <c r="K39" s="19">
        <f>C39/100*0.15</f>
        <v>1.1375999999999999</v>
      </c>
      <c r="L39" s="99">
        <v>1580</v>
      </c>
      <c r="M39" s="13">
        <v>84</v>
      </c>
      <c r="N39" s="10">
        <f t="shared" si="2"/>
        <v>132720</v>
      </c>
      <c r="O39" s="3"/>
      <c r="Q39" s="2"/>
      <c r="R39" s="2"/>
      <c r="S39" s="3"/>
    </row>
    <row r="40" spans="1:20" ht="19.899999999999999" customHeight="1" x14ac:dyDescent="0.25">
      <c r="A40" s="7">
        <v>8</v>
      </c>
      <c r="B40" s="4" t="s">
        <v>117</v>
      </c>
      <c r="C40" s="10">
        <f>L40/100*100</f>
        <v>70</v>
      </c>
      <c r="D40" s="11">
        <f>C40/100*247</f>
        <v>172.89999999999998</v>
      </c>
      <c r="E40" s="14"/>
      <c r="F40" s="14">
        <f>C40/100*17.5</f>
        <v>12.25</v>
      </c>
      <c r="G40" s="14"/>
      <c r="H40" s="14">
        <f>C40/100*1.6</f>
        <v>1.1199999999999999</v>
      </c>
      <c r="I40" s="14">
        <f>C40/100*39.2</f>
        <v>27.44</v>
      </c>
      <c r="J40" s="18"/>
      <c r="K40" s="18"/>
      <c r="L40" s="143">
        <v>70</v>
      </c>
      <c r="M40" s="17">
        <v>50</v>
      </c>
      <c r="N40" s="101">
        <f t="shared" si="2"/>
        <v>3500</v>
      </c>
      <c r="O40" s="3"/>
      <c r="Q40" s="2"/>
      <c r="R40" s="2"/>
      <c r="S40" s="3"/>
      <c r="T40" s="2"/>
    </row>
    <row r="41" spans="1:20" ht="19.899999999999999" customHeight="1" x14ac:dyDescent="0.25">
      <c r="A41" s="7">
        <v>9</v>
      </c>
      <c r="B41" s="125" t="s">
        <v>130</v>
      </c>
      <c r="C41" s="10">
        <f>L41/100*100</f>
        <v>2080</v>
      </c>
      <c r="D41" s="57">
        <f>C41/100*487</f>
        <v>10129.6</v>
      </c>
      <c r="E41" s="14"/>
      <c r="F41" s="14">
        <f>C41/100*19.5</f>
        <v>405.6</v>
      </c>
      <c r="G41" s="14"/>
      <c r="H41" s="14">
        <f>C41/100*23.2</f>
        <v>482.56</v>
      </c>
      <c r="I41" s="14">
        <f>C41/100*46</f>
        <v>956.80000000000007</v>
      </c>
      <c r="J41" s="81">
        <f>C41/100*680</f>
        <v>14144</v>
      </c>
      <c r="K41" s="12">
        <f>C41/100*0.55</f>
        <v>11.440000000000001</v>
      </c>
      <c r="L41" s="143">
        <v>2080</v>
      </c>
      <c r="M41" s="91">
        <v>260</v>
      </c>
      <c r="N41" s="10">
        <f t="shared" si="2"/>
        <v>540800</v>
      </c>
      <c r="O41" s="3"/>
      <c r="P41" s="2"/>
    </row>
    <row r="42" spans="1:20" ht="19.899999999999999" customHeight="1" x14ac:dyDescent="0.25">
      <c r="A42" s="69">
        <v>10</v>
      </c>
      <c r="B42" s="70" t="s">
        <v>111</v>
      </c>
      <c r="C42" s="71"/>
      <c r="D42" s="72"/>
      <c r="E42" s="73"/>
      <c r="F42" s="73"/>
      <c r="G42" s="73"/>
      <c r="H42" s="73"/>
      <c r="I42" s="73"/>
      <c r="J42" s="73"/>
      <c r="K42" s="73"/>
      <c r="L42" s="74"/>
      <c r="M42" s="74"/>
      <c r="N42" s="71">
        <v>7900</v>
      </c>
      <c r="O42" s="3"/>
    </row>
    <row r="43" spans="1:20" ht="22.15" customHeight="1" x14ac:dyDescent="0.25">
      <c r="A43" s="233" t="s">
        <v>0</v>
      </c>
      <c r="B43" s="238" t="s">
        <v>19</v>
      </c>
      <c r="C43" s="238" t="s">
        <v>8</v>
      </c>
      <c r="D43" s="238" t="s">
        <v>9</v>
      </c>
      <c r="E43" s="241" t="s">
        <v>11</v>
      </c>
      <c r="F43" s="242"/>
      <c r="G43" s="241" t="s">
        <v>13</v>
      </c>
      <c r="H43" s="242"/>
      <c r="I43" s="233" t="s">
        <v>16</v>
      </c>
      <c r="J43" s="233" t="s">
        <v>32</v>
      </c>
      <c r="K43" s="233" t="s">
        <v>33</v>
      </c>
      <c r="L43" s="233" t="s">
        <v>17</v>
      </c>
      <c r="M43" s="233" t="s">
        <v>34</v>
      </c>
      <c r="N43" s="233" t="s">
        <v>18</v>
      </c>
      <c r="O43" s="140"/>
    </row>
    <row r="44" spans="1:20" ht="22.15" customHeight="1" x14ac:dyDescent="0.25">
      <c r="A44" s="236"/>
      <c r="B44" s="239"/>
      <c r="C44" s="239"/>
      <c r="D44" s="239"/>
      <c r="E44" s="243"/>
      <c r="F44" s="244"/>
      <c r="G44" s="243"/>
      <c r="H44" s="244"/>
      <c r="I44" s="234"/>
      <c r="J44" s="234"/>
      <c r="K44" s="234"/>
      <c r="L44" s="234"/>
      <c r="M44" s="234"/>
      <c r="N44" s="236"/>
      <c r="O44" s="132"/>
    </row>
    <row r="45" spans="1:20" ht="22.15" customHeight="1" x14ac:dyDescent="0.25">
      <c r="A45" s="236"/>
      <c r="B45" s="239"/>
      <c r="C45" s="239"/>
      <c r="D45" s="239"/>
      <c r="E45" s="233" t="s">
        <v>10</v>
      </c>
      <c r="F45" s="233" t="s">
        <v>12</v>
      </c>
      <c r="G45" s="233" t="s">
        <v>14</v>
      </c>
      <c r="H45" s="233" t="s">
        <v>15</v>
      </c>
      <c r="I45" s="234"/>
      <c r="J45" s="234"/>
      <c r="K45" s="234"/>
      <c r="L45" s="234"/>
      <c r="M45" s="234"/>
      <c r="N45" s="236"/>
      <c r="O45" s="132"/>
    </row>
    <row r="46" spans="1:20" ht="22.15" customHeight="1" x14ac:dyDescent="0.25">
      <c r="A46" s="237"/>
      <c r="B46" s="240"/>
      <c r="C46" s="240"/>
      <c r="D46" s="240"/>
      <c r="E46" s="235"/>
      <c r="F46" s="235"/>
      <c r="G46" s="235"/>
      <c r="H46" s="235"/>
      <c r="I46" s="235"/>
      <c r="J46" s="235"/>
      <c r="K46" s="235"/>
      <c r="L46" s="235"/>
      <c r="M46" s="235"/>
      <c r="N46" s="237"/>
      <c r="O46" s="132"/>
    </row>
    <row r="47" spans="1:20" ht="21" customHeight="1" x14ac:dyDescent="0.25">
      <c r="A47" s="20" t="s">
        <v>98</v>
      </c>
      <c r="B47" s="21"/>
      <c r="C47" s="22"/>
      <c r="D47" s="84">
        <f>SUM(D33:D42)</f>
        <v>30968.488000000005</v>
      </c>
      <c r="E47" s="5"/>
      <c r="F47" s="5"/>
      <c r="G47" s="5"/>
      <c r="H47" s="5"/>
      <c r="I47" s="5"/>
      <c r="J47" s="5"/>
      <c r="K47" s="5"/>
      <c r="L47" s="28"/>
      <c r="M47" s="28"/>
      <c r="N47" s="322">
        <f>SUM(N33:N42)</f>
        <v>1183960</v>
      </c>
      <c r="O47" s="3"/>
    </row>
    <row r="48" spans="1:20" ht="21" customHeight="1" x14ac:dyDescent="0.25">
      <c r="A48" s="20" t="s">
        <v>7</v>
      </c>
      <c r="B48" s="21"/>
      <c r="C48" s="29"/>
      <c r="D48" s="30">
        <f>D47/C10</f>
        <v>253.84006557377054</v>
      </c>
      <c r="E48" s="30"/>
      <c r="F48" s="30"/>
      <c r="G48" s="30"/>
      <c r="H48" s="30"/>
      <c r="I48" s="30"/>
      <c r="J48" s="30"/>
      <c r="K48" s="30"/>
      <c r="L48" s="28"/>
      <c r="M48" s="28"/>
      <c r="N48" s="323"/>
      <c r="O48" s="3"/>
    </row>
    <row r="49" spans="1:22" ht="21" customHeight="1" x14ac:dyDescent="0.25">
      <c r="A49" s="307" t="s">
        <v>51</v>
      </c>
      <c r="B49" s="218"/>
      <c r="C49" s="145" t="s">
        <v>132</v>
      </c>
      <c r="D49" s="26" t="s">
        <v>41</v>
      </c>
      <c r="E49" s="30"/>
      <c r="F49" s="30"/>
      <c r="G49" s="30"/>
      <c r="H49" s="30"/>
      <c r="I49" s="30"/>
      <c r="J49" s="31"/>
      <c r="K49" s="31"/>
      <c r="L49" s="28"/>
      <c r="M49" s="28"/>
      <c r="N49" s="137"/>
      <c r="O49" s="3"/>
    </row>
    <row r="50" spans="1:22" ht="21" customHeight="1" x14ac:dyDescent="0.25">
      <c r="A50" s="219"/>
      <c r="B50" s="220"/>
      <c r="C50" s="54" t="s">
        <v>58</v>
      </c>
      <c r="D50" s="26">
        <f>D48*100/1320</f>
        <v>19.230307998012922</v>
      </c>
      <c r="E50" s="30"/>
      <c r="F50" s="30"/>
      <c r="G50" s="30"/>
      <c r="H50" s="30"/>
      <c r="I50" s="30"/>
      <c r="J50" s="31"/>
      <c r="K50" s="31"/>
      <c r="L50" s="28"/>
      <c r="M50" s="28"/>
      <c r="N50" s="137"/>
      <c r="O50" s="3"/>
    </row>
    <row r="51" spans="1:22" ht="21" customHeight="1" x14ac:dyDescent="0.25">
      <c r="A51" s="221" t="s">
        <v>99</v>
      </c>
      <c r="B51" s="222"/>
      <c r="C51" s="225"/>
      <c r="D51" s="227">
        <f>D28+D47</f>
        <v>87765.981499999994</v>
      </c>
      <c r="E51" s="85">
        <f>SUM(E16:E42)</f>
        <v>1911.7272</v>
      </c>
      <c r="F51" s="85">
        <f t="shared" ref="F51:H51" si="3">SUM(F16:F42)</f>
        <v>1739.37075</v>
      </c>
      <c r="G51" s="85">
        <f t="shared" si="3"/>
        <v>1776.5536</v>
      </c>
      <c r="H51" s="5">
        <f t="shared" si="3"/>
        <v>771.06790000000001</v>
      </c>
      <c r="I51" s="278">
        <f>SUM(I16:I42)</f>
        <v>12163.086700000002</v>
      </c>
      <c r="J51" s="231">
        <f>SUM(J16:J42)</f>
        <v>26819.533500000001</v>
      </c>
      <c r="K51" s="229">
        <f>SUM(K16:K42)</f>
        <v>72.03819</v>
      </c>
      <c r="L51" s="193"/>
      <c r="M51" s="193"/>
      <c r="N51" s="312">
        <f>N28+N47</f>
        <v>2683940</v>
      </c>
    </row>
    <row r="52" spans="1:22" ht="21" customHeight="1" x14ac:dyDescent="0.25">
      <c r="A52" s="223"/>
      <c r="B52" s="224"/>
      <c r="C52" s="226"/>
      <c r="D52" s="228"/>
      <c r="E52" s="195">
        <f>E51+F51</f>
        <v>3651.0979500000003</v>
      </c>
      <c r="F52" s="196"/>
      <c r="G52" s="195">
        <f>G51+H51</f>
        <v>2547.6215000000002</v>
      </c>
      <c r="H52" s="196"/>
      <c r="I52" s="279"/>
      <c r="J52" s="232"/>
      <c r="K52" s="230"/>
      <c r="L52" s="193"/>
      <c r="M52" s="193"/>
      <c r="N52" s="312"/>
    </row>
    <row r="53" spans="1:22" ht="21" customHeight="1" x14ac:dyDescent="0.25">
      <c r="A53" s="268" t="s">
        <v>75</v>
      </c>
      <c r="B53" s="269"/>
      <c r="C53" s="270"/>
      <c r="D53" s="90">
        <f>D51/C10</f>
        <v>719.39329098360656</v>
      </c>
      <c r="E53" s="96">
        <f>E51/C10</f>
        <v>15.669895081967214</v>
      </c>
      <c r="F53" s="95">
        <f>F51/C10</f>
        <v>14.257137295081968</v>
      </c>
      <c r="G53" s="96">
        <f>G51/C10</f>
        <v>14.56191475409836</v>
      </c>
      <c r="H53" s="95">
        <f>H51/C10</f>
        <v>6.3202286885245904</v>
      </c>
      <c r="I53" s="206">
        <f>I51/C10</f>
        <v>99.697431967213134</v>
      </c>
      <c r="J53" s="300">
        <f>J51/C10</f>
        <v>219.83224180327869</v>
      </c>
      <c r="K53" s="206">
        <f>K51/C10</f>
        <v>0.59047696721311471</v>
      </c>
      <c r="L53" s="193"/>
      <c r="M53" s="193"/>
      <c r="N53" s="312"/>
    </row>
    <row r="54" spans="1:22" ht="21" customHeight="1" x14ac:dyDescent="0.25">
      <c r="A54" s="271"/>
      <c r="B54" s="272"/>
      <c r="C54" s="273"/>
      <c r="D54" s="88"/>
      <c r="E54" s="190">
        <f>E53+F53</f>
        <v>29.92703237704918</v>
      </c>
      <c r="F54" s="191"/>
      <c r="G54" s="190">
        <f>G53+H53</f>
        <v>20.882143442622951</v>
      </c>
      <c r="H54" s="191"/>
      <c r="I54" s="207"/>
      <c r="J54" s="209"/>
      <c r="K54" s="207"/>
      <c r="L54" s="193"/>
      <c r="M54" s="193"/>
      <c r="N54" s="312"/>
      <c r="Q54" s="326"/>
      <c r="R54" s="326"/>
      <c r="S54" s="326"/>
      <c r="T54" s="326"/>
      <c r="U54" s="328"/>
      <c r="V54" s="328"/>
    </row>
    <row r="55" spans="1:22" ht="21" customHeight="1" x14ac:dyDescent="0.25">
      <c r="A55" s="211" t="s">
        <v>76</v>
      </c>
      <c r="B55" s="212"/>
      <c r="C55" s="213"/>
      <c r="D55" s="136" t="s">
        <v>27</v>
      </c>
      <c r="E55" s="184" t="s">
        <v>21</v>
      </c>
      <c r="F55" s="184"/>
      <c r="G55" s="184" t="s">
        <v>22</v>
      </c>
      <c r="H55" s="184"/>
      <c r="I55" s="136" t="s">
        <v>23</v>
      </c>
      <c r="J55" s="133">
        <v>600</v>
      </c>
      <c r="K55" s="133">
        <v>0.74</v>
      </c>
      <c r="L55" s="193"/>
      <c r="M55" s="193"/>
      <c r="N55" s="312"/>
      <c r="O55" s="147"/>
      <c r="P55" s="150"/>
      <c r="Q55" s="326"/>
      <c r="R55" s="326"/>
      <c r="S55" s="326"/>
      <c r="T55" s="326"/>
      <c r="U55" s="326"/>
      <c r="V55" s="326"/>
    </row>
    <row r="56" spans="1:22" ht="21" customHeight="1" x14ac:dyDescent="0.25">
      <c r="A56" s="180" t="s">
        <v>69</v>
      </c>
      <c r="B56" s="185"/>
      <c r="C56" s="181"/>
      <c r="D56" s="16"/>
      <c r="E56" s="186">
        <f>E54*4.1</f>
        <v>122.70083274590162</v>
      </c>
      <c r="F56" s="187"/>
      <c r="G56" s="186">
        <f>G54*9</f>
        <v>187.93929098360655</v>
      </c>
      <c r="H56" s="187"/>
      <c r="I56" s="60">
        <f>I53*4.1</f>
        <v>408.75947106557379</v>
      </c>
      <c r="J56" s="197"/>
      <c r="K56" s="197"/>
      <c r="L56" s="193"/>
      <c r="M56" s="193"/>
      <c r="N56" s="312"/>
      <c r="O56" s="147"/>
      <c r="P56" s="151"/>
      <c r="Q56" s="152"/>
      <c r="R56" s="152"/>
      <c r="S56" s="152"/>
    </row>
    <row r="57" spans="1:22" ht="21" customHeight="1" x14ac:dyDescent="0.25">
      <c r="A57" s="176" t="s">
        <v>70</v>
      </c>
      <c r="B57" s="177"/>
      <c r="C57" s="180" t="s">
        <v>58</v>
      </c>
      <c r="D57" s="181"/>
      <c r="E57" s="182">
        <f>E56*100/D53</f>
        <v>17.056154718670808</v>
      </c>
      <c r="F57" s="183"/>
      <c r="G57" s="182">
        <f>G56*100/D53</f>
        <v>26.124693312977989</v>
      </c>
      <c r="H57" s="183"/>
      <c r="I57" s="75">
        <f>I56*100/D53</f>
        <v>56.820028236111057</v>
      </c>
      <c r="J57" s="198"/>
      <c r="K57" s="198"/>
      <c r="L57" s="193"/>
      <c r="M57" s="193"/>
      <c r="N57" s="312"/>
      <c r="O57" s="147"/>
      <c r="P57" s="106"/>
      <c r="Q57" s="153"/>
      <c r="R57" s="106"/>
      <c r="S57" s="106"/>
    </row>
    <row r="58" spans="1:22" ht="21" customHeight="1" x14ac:dyDescent="0.25">
      <c r="A58" s="178"/>
      <c r="B58" s="179"/>
      <c r="C58" s="180" t="s">
        <v>71</v>
      </c>
      <c r="D58" s="181"/>
      <c r="E58" s="180" t="s">
        <v>72</v>
      </c>
      <c r="F58" s="181"/>
      <c r="G58" s="180" t="s">
        <v>73</v>
      </c>
      <c r="H58" s="181"/>
      <c r="I58" s="136" t="s">
        <v>74</v>
      </c>
      <c r="J58" s="199"/>
      <c r="K58" s="199"/>
      <c r="L58" s="193"/>
      <c r="M58" s="193"/>
      <c r="N58" s="312"/>
      <c r="O58" s="147"/>
      <c r="P58" s="2"/>
    </row>
    <row r="59" spans="1:22" ht="21" customHeight="1" x14ac:dyDescent="0.25">
      <c r="A59" s="327"/>
      <c r="B59" s="327"/>
      <c r="C59" s="327"/>
      <c r="D59" s="327"/>
      <c r="E59" s="327"/>
      <c r="F59" s="327"/>
      <c r="G59" s="327"/>
      <c r="H59" s="327"/>
      <c r="I59" s="327"/>
      <c r="J59" s="327"/>
      <c r="K59" s="327"/>
      <c r="L59" s="327"/>
      <c r="M59" s="327"/>
      <c r="N59" s="327"/>
      <c r="O59" s="147"/>
    </row>
    <row r="60" spans="1:22" ht="21" customHeight="1" x14ac:dyDescent="0.25">
      <c r="A60" s="63"/>
      <c r="B60" s="64"/>
      <c r="C60" s="63"/>
      <c r="D60" s="63"/>
      <c r="E60" s="63"/>
      <c r="F60" s="63"/>
      <c r="G60" s="63"/>
      <c r="H60" s="63"/>
      <c r="I60" s="63"/>
      <c r="J60" s="63"/>
      <c r="K60" s="63"/>
      <c r="L60" s="65"/>
      <c r="M60" s="65"/>
      <c r="N60" s="66"/>
      <c r="O60" s="147"/>
    </row>
    <row r="61" spans="1:22" ht="21" customHeight="1" x14ac:dyDescent="0.25">
      <c r="A61" s="172" t="s">
        <v>100</v>
      </c>
      <c r="B61" s="172"/>
      <c r="C61" s="172"/>
      <c r="D61" s="172"/>
      <c r="E61" s="172"/>
      <c r="F61" s="172"/>
      <c r="G61" s="172"/>
      <c r="H61" s="172"/>
      <c r="I61" s="172"/>
      <c r="J61" s="172"/>
      <c r="K61" s="172"/>
      <c r="L61" s="172"/>
      <c r="M61" s="172"/>
      <c r="N61" s="172"/>
      <c r="O61" s="147"/>
    </row>
    <row r="62" spans="1:22" ht="21" customHeight="1" x14ac:dyDescent="0.25">
      <c r="A62" s="77" t="s">
        <v>101</v>
      </c>
      <c r="B62" s="173" t="s">
        <v>102</v>
      </c>
      <c r="C62" s="173"/>
      <c r="D62" s="173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47"/>
    </row>
    <row r="63" spans="1:22" ht="21" customHeight="1" x14ac:dyDescent="0.25">
      <c r="A63" s="78"/>
      <c r="B63" s="174" t="s">
        <v>198</v>
      </c>
      <c r="C63" s="174"/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47"/>
    </row>
    <row r="64" spans="1:22" ht="21" customHeight="1" x14ac:dyDescent="0.25">
      <c r="A64" s="78"/>
      <c r="B64" s="174" t="s">
        <v>199</v>
      </c>
      <c r="C64" s="174"/>
      <c r="D64" s="174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47"/>
    </row>
    <row r="65" spans="1:15" ht="21" customHeight="1" x14ac:dyDescent="0.25">
      <c r="A65" s="78"/>
      <c r="B65" s="174" t="s">
        <v>200</v>
      </c>
      <c r="C65" s="174"/>
      <c r="D65" s="174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47"/>
    </row>
    <row r="66" spans="1:15" ht="21" customHeight="1" x14ac:dyDescent="0.25">
      <c r="A66" s="63"/>
      <c r="B66" s="175" t="s">
        <v>109</v>
      </c>
      <c r="C66" s="175"/>
      <c r="D66" s="175"/>
      <c r="E66" s="175"/>
      <c r="F66" s="175"/>
      <c r="G66" s="175"/>
      <c r="H66" s="175"/>
      <c r="I66" s="175"/>
      <c r="J66" s="175"/>
      <c r="K66" s="175"/>
      <c r="L66" s="175"/>
      <c r="M66" s="175"/>
      <c r="N66" s="175"/>
      <c r="O66" s="147"/>
    </row>
    <row r="67" spans="1:15" ht="21" customHeight="1" x14ac:dyDescent="0.25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79"/>
      <c r="M67" s="79"/>
      <c r="N67" s="80"/>
      <c r="O67" s="147"/>
    </row>
    <row r="68" spans="1:15" ht="21" customHeight="1" x14ac:dyDescent="0.25">
      <c r="A68" s="168" t="s">
        <v>60</v>
      </c>
      <c r="B68" s="168"/>
      <c r="C68" s="168"/>
      <c r="D68" s="168"/>
      <c r="E68" s="148"/>
      <c r="F68" s="148"/>
      <c r="G68" s="148"/>
      <c r="H68" s="148"/>
      <c r="I68" s="148"/>
      <c r="J68" s="169" t="s">
        <v>36</v>
      </c>
      <c r="K68" s="169"/>
      <c r="L68" s="169"/>
      <c r="M68" s="169"/>
      <c r="N68" s="169"/>
      <c r="O68" s="147"/>
    </row>
    <row r="69" spans="1:15" ht="21" customHeight="1" x14ac:dyDescent="0.25">
      <c r="A69" s="132"/>
      <c r="B69" s="132"/>
      <c r="C69" s="132"/>
      <c r="D69" s="148"/>
      <c r="E69" s="148"/>
      <c r="F69" s="148"/>
      <c r="G69" s="148"/>
      <c r="H69" s="149"/>
      <c r="I69" s="149"/>
      <c r="J69" s="149"/>
      <c r="K69" s="149"/>
      <c r="L69" s="149"/>
      <c r="M69" s="149"/>
      <c r="N69" s="149"/>
      <c r="O69" s="147"/>
    </row>
    <row r="70" spans="1:15" ht="21" customHeight="1" x14ac:dyDescent="0.25">
      <c r="A70" s="132"/>
      <c r="B70" s="132"/>
      <c r="C70" s="132"/>
      <c r="D70" s="148"/>
      <c r="E70" s="148"/>
      <c r="F70" s="148"/>
      <c r="G70" s="148"/>
      <c r="H70" s="149"/>
      <c r="I70" s="149"/>
      <c r="J70" s="149"/>
      <c r="K70" s="149"/>
      <c r="L70" s="149"/>
      <c r="M70" s="149"/>
      <c r="N70" s="149"/>
      <c r="O70" s="147"/>
    </row>
    <row r="71" spans="1:15" ht="21" customHeight="1" x14ac:dyDescent="0.25">
      <c r="A71" s="132"/>
      <c r="B71" s="132"/>
      <c r="C71" s="132"/>
      <c r="D71" s="148"/>
      <c r="E71" s="148"/>
      <c r="F71" s="148"/>
      <c r="G71" s="148"/>
      <c r="H71" s="149"/>
      <c r="I71" s="149"/>
      <c r="J71" s="170" t="s">
        <v>103</v>
      </c>
      <c r="K71" s="170"/>
      <c r="L71" s="170"/>
      <c r="M71" s="170"/>
      <c r="N71" s="170"/>
      <c r="O71" s="147"/>
    </row>
    <row r="72" spans="1:15" ht="21" customHeight="1" x14ac:dyDescent="0.25">
      <c r="A72" s="171" t="s">
        <v>84</v>
      </c>
      <c r="B72" s="171"/>
      <c r="C72" s="171"/>
      <c r="D72" s="171"/>
      <c r="E72" s="148"/>
      <c r="F72" s="148"/>
      <c r="G72" s="148"/>
      <c r="H72" s="149"/>
      <c r="I72" s="149"/>
      <c r="O72" s="147"/>
    </row>
    <row r="73" spans="1:15" ht="21" customHeight="1" x14ac:dyDescent="0.25">
      <c r="A73" s="132"/>
      <c r="B73" s="132"/>
      <c r="C73" s="132"/>
      <c r="D73" s="148"/>
      <c r="E73" s="148"/>
      <c r="F73" s="148"/>
      <c r="G73" s="148"/>
      <c r="H73" s="149"/>
      <c r="I73" s="149"/>
      <c r="J73" s="149"/>
      <c r="K73" s="149"/>
      <c r="L73" s="149"/>
      <c r="M73" s="149"/>
      <c r="N73" s="149"/>
      <c r="O73" s="147"/>
    </row>
    <row r="74" spans="1:15" ht="21" customHeight="1" x14ac:dyDescent="0.25">
      <c r="A74" s="132"/>
      <c r="B74" s="132"/>
      <c r="C74" s="132"/>
      <c r="D74" s="148"/>
      <c r="E74" s="148"/>
      <c r="F74" s="148"/>
      <c r="G74" s="148"/>
      <c r="H74" s="149"/>
      <c r="I74" s="149"/>
      <c r="J74" s="170" t="s">
        <v>114</v>
      </c>
      <c r="K74" s="170"/>
      <c r="L74" s="170"/>
      <c r="M74" s="170"/>
      <c r="N74" s="170"/>
      <c r="O74" s="147"/>
    </row>
    <row r="75" spans="1:15" ht="21" customHeight="1" x14ac:dyDescent="0.25">
      <c r="A75" s="132"/>
      <c r="B75" s="132"/>
      <c r="C75" s="132"/>
      <c r="D75" s="148"/>
      <c r="E75" s="148"/>
      <c r="F75" s="148"/>
      <c r="G75" s="148"/>
      <c r="H75" s="149"/>
      <c r="I75" s="149"/>
      <c r="J75" s="149"/>
      <c r="K75" s="149"/>
      <c r="L75" s="149"/>
      <c r="M75" s="149"/>
      <c r="N75" s="149"/>
      <c r="O75" s="147"/>
    </row>
    <row r="76" spans="1:15" ht="21" customHeight="1" x14ac:dyDescent="0.25">
      <c r="A76" s="132"/>
      <c r="B76" s="132"/>
      <c r="C76" s="132"/>
      <c r="D76" s="148"/>
      <c r="E76" s="148"/>
      <c r="F76" s="148"/>
      <c r="G76" s="148"/>
      <c r="H76" s="149"/>
      <c r="I76" s="149"/>
      <c r="J76" s="149"/>
      <c r="K76" s="149"/>
      <c r="L76" s="149"/>
      <c r="M76" s="149"/>
      <c r="N76" s="149"/>
      <c r="O76" s="147"/>
    </row>
    <row r="77" spans="1:15" ht="21" customHeight="1" x14ac:dyDescent="0.25">
      <c r="A77" s="132"/>
      <c r="B77" s="132"/>
      <c r="C77" s="132"/>
      <c r="D77" s="148"/>
      <c r="E77" s="148"/>
      <c r="F77" s="148"/>
      <c r="G77" s="148"/>
      <c r="H77" s="149"/>
      <c r="I77" s="149"/>
      <c r="J77" s="149"/>
      <c r="K77" s="149"/>
      <c r="L77" s="149"/>
      <c r="M77" s="149"/>
      <c r="N77" s="149"/>
      <c r="O77" s="147"/>
    </row>
    <row r="78" spans="1:15" ht="21" customHeight="1" x14ac:dyDescent="0.25">
      <c r="A78" s="132"/>
      <c r="B78" s="132"/>
      <c r="C78" s="132"/>
      <c r="D78" s="148"/>
      <c r="E78" s="148"/>
      <c r="F78" s="148"/>
      <c r="G78" s="148"/>
      <c r="H78" s="149"/>
      <c r="I78" s="149"/>
      <c r="J78" s="149"/>
      <c r="K78" s="149"/>
      <c r="L78" s="149"/>
      <c r="M78" s="149"/>
      <c r="N78" s="149"/>
      <c r="O78" s="147"/>
    </row>
    <row r="79" spans="1:15" ht="21" customHeight="1" x14ac:dyDescent="0.25">
      <c r="A79" s="132"/>
      <c r="B79" s="132"/>
      <c r="C79" s="132"/>
      <c r="D79" s="148"/>
      <c r="E79" s="148"/>
      <c r="F79" s="148"/>
      <c r="G79" s="148"/>
      <c r="H79" s="149"/>
      <c r="I79" s="149"/>
      <c r="J79" s="149"/>
      <c r="K79" s="149"/>
      <c r="L79" s="149"/>
      <c r="M79" s="149"/>
      <c r="N79" s="149"/>
      <c r="O79" s="147"/>
    </row>
    <row r="80" spans="1:15" ht="21" customHeight="1" x14ac:dyDescent="0.25">
      <c r="A80" s="132"/>
      <c r="B80" s="132"/>
      <c r="C80" s="132"/>
      <c r="D80" s="148"/>
      <c r="E80" s="148"/>
      <c r="F80" s="148"/>
      <c r="G80" s="148"/>
      <c r="H80" s="149"/>
      <c r="I80" s="149"/>
      <c r="J80" s="149"/>
      <c r="K80" s="149"/>
      <c r="L80" s="149"/>
      <c r="M80" s="149"/>
      <c r="N80" s="149"/>
      <c r="O80" s="147"/>
    </row>
    <row r="81" spans="1:16" ht="21" customHeight="1" x14ac:dyDescent="0.25">
      <c r="A81" s="132"/>
      <c r="B81" s="132"/>
      <c r="C81" s="132"/>
      <c r="D81" s="148"/>
      <c r="E81" s="148"/>
      <c r="F81" s="148"/>
      <c r="G81" s="148"/>
      <c r="H81" s="149"/>
      <c r="I81" s="149"/>
      <c r="J81" s="149"/>
      <c r="K81" s="149"/>
      <c r="L81" s="149"/>
      <c r="M81" s="149"/>
      <c r="N81" s="149"/>
      <c r="O81" s="147"/>
    </row>
    <row r="82" spans="1:16" ht="19.899999999999999" customHeight="1" x14ac:dyDescent="0.3">
      <c r="A82" s="9" t="s">
        <v>59</v>
      </c>
      <c r="B82" s="6"/>
      <c r="C82" s="6"/>
      <c r="D82" s="6"/>
      <c r="E82" s="6"/>
      <c r="F82" s="265" t="s">
        <v>31</v>
      </c>
      <c r="G82" s="265"/>
      <c r="H82" s="265"/>
      <c r="I82" s="265"/>
      <c r="J82" s="265"/>
      <c r="K82" s="265"/>
      <c r="L82" s="265"/>
      <c r="M82" s="265"/>
      <c r="N82" s="265"/>
      <c r="O82" s="138"/>
      <c r="P82" s="138"/>
    </row>
    <row r="83" spans="1:16" ht="19.899999999999999" customHeight="1" x14ac:dyDescent="0.3">
      <c r="A83" s="6" t="s">
        <v>197</v>
      </c>
      <c r="B83" s="6"/>
      <c r="C83" s="6"/>
      <c r="D83" s="6"/>
      <c r="E83" s="6"/>
      <c r="F83" s="135"/>
      <c r="G83" s="135"/>
      <c r="H83" s="135"/>
      <c r="I83" s="135"/>
      <c r="J83" s="135"/>
      <c r="K83" s="135"/>
      <c r="L83" s="135"/>
      <c r="M83" s="135"/>
      <c r="N83" s="135"/>
      <c r="O83" s="138"/>
      <c r="P83" s="138"/>
    </row>
    <row r="84" spans="1:16" ht="19.899999999999999" customHeight="1" x14ac:dyDescent="0.25">
      <c r="A84" s="184" t="s">
        <v>95</v>
      </c>
      <c r="B84" s="184"/>
      <c r="C84" s="184"/>
      <c r="D84" s="184"/>
      <c r="E84" s="184" t="s">
        <v>82</v>
      </c>
      <c r="F84" s="184"/>
      <c r="G84" s="184"/>
      <c r="H84" s="184"/>
      <c r="I84" s="184"/>
      <c r="J84" s="184"/>
      <c r="K84" s="184"/>
      <c r="L84" s="184"/>
      <c r="M84" s="184"/>
      <c r="N84" s="184"/>
      <c r="O84" s="139"/>
    </row>
    <row r="85" spans="1:16" ht="19.899999999999999" customHeight="1" x14ac:dyDescent="0.25">
      <c r="A85" s="184"/>
      <c r="B85" s="184"/>
      <c r="C85" s="184"/>
      <c r="D85" s="184"/>
      <c r="E85" s="184" t="s">
        <v>94</v>
      </c>
      <c r="F85" s="184"/>
      <c r="G85" s="184"/>
      <c r="H85" s="184"/>
      <c r="I85" s="184"/>
      <c r="J85" s="184" t="s">
        <v>96</v>
      </c>
      <c r="K85" s="184"/>
      <c r="L85" s="184"/>
      <c r="M85" s="184"/>
      <c r="N85" s="184"/>
      <c r="O85" s="139"/>
    </row>
    <row r="86" spans="1:16" ht="19.899999999999999" customHeight="1" x14ac:dyDescent="0.25">
      <c r="A86" s="252" t="s">
        <v>83</v>
      </c>
      <c r="B86" s="252"/>
      <c r="C86" s="252"/>
      <c r="D86" s="252"/>
      <c r="E86" s="253" t="s">
        <v>131</v>
      </c>
      <c r="F86" s="253"/>
      <c r="G86" s="253"/>
      <c r="H86" s="253"/>
      <c r="I86" s="253"/>
      <c r="J86" s="284" t="s">
        <v>152</v>
      </c>
      <c r="K86" s="285"/>
      <c r="L86" s="285"/>
      <c r="M86" s="285"/>
      <c r="N86" s="286"/>
      <c r="O86" s="139"/>
    </row>
    <row r="87" spans="1:16" ht="19.899999999999999" customHeight="1" x14ac:dyDescent="0.25">
      <c r="A87" s="304" t="s">
        <v>150</v>
      </c>
      <c r="B87" s="304"/>
      <c r="C87" s="304"/>
      <c r="D87" s="304"/>
      <c r="E87" s="253"/>
      <c r="F87" s="253"/>
      <c r="G87" s="253"/>
      <c r="H87" s="253"/>
      <c r="I87" s="253"/>
      <c r="J87" s="287"/>
      <c r="K87" s="288"/>
      <c r="L87" s="288"/>
      <c r="M87" s="288"/>
      <c r="N87" s="289"/>
      <c r="O87" s="139"/>
    </row>
    <row r="88" spans="1:16" ht="19.899999999999999" customHeight="1" x14ac:dyDescent="0.25">
      <c r="A88" s="261" t="s">
        <v>149</v>
      </c>
      <c r="B88" s="261"/>
      <c r="C88" s="261"/>
      <c r="D88" s="261"/>
      <c r="E88" s="253"/>
      <c r="F88" s="253"/>
      <c r="G88" s="253"/>
      <c r="H88" s="253"/>
      <c r="I88" s="253"/>
      <c r="J88" s="290"/>
      <c r="K88" s="291"/>
      <c r="L88" s="291"/>
      <c r="M88" s="291"/>
      <c r="N88" s="292"/>
      <c r="O88" s="139"/>
    </row>
    <row r="89" spans="1:16" ht="19.899999999999999" customHeight="1" x14ac:dyDescent="0.3">
      <c r="A89" s="303" t="s">
        <v>110</v>
      </c>
      <c r="B89" s="303"/>
      <c r="C89" s="305">
        <v>47</v>
      </c>
      <c r="D89" s="305"/>
      <c r="E89" s="6"/>
      <c r="F89" s="135"/>
      <c r="G89" s="135"/>
      <c r="H89" s="135"/>
      <c r="I89" s="135"/>
      <c r="J89" s="135"/>
      <c r="K89" s="135"/>
      <c r="L89" s="135"/>
      <c r="M89" s="135"/>
      <c r="N89" s="135"/>
      <c r="O89" s="138"/>
      <c r="P89" s="138"/>
    </row>
    <row r="90" spans="1:16" ht="19.899999999999999" customHeight="1" x14ac:dyDescent="0.25">
      <c r="A90" s="233" t="s">
        <v>0</v>
      </c>
      <c r="B90" s="238" t="s">
        <v>19</v>
      </c>
      <c r="C90" s="238" t="s">
        <v>8</v>
      </c>
      <c r="D90" s="238" t="s">
        <v>9</v>
      </c>
      <c r="E90" s="241" t="s">
        <v>11</v>
      </c>
      <c r="F90" s="242"/>
      <c r="G90" s="241" t="s">
        <v>13</v>
      </c>
      <c r="H90" s="242"/>
      <c r="I90" s="233" t="s">
        <v>16</v>
      </c>
      <c r="J90" s="233" t="s">
        <v>32</v>
      </c>
      <c r="K90" s="233" t="s">
        <v>33</v>
      </c>
      <c r="L90" s="233" t="s">
        <v>17</v>
      </c>
      <c r="M90" s="233" t="s">
        <v>34</v>
      </c>
      <c r="N90" s="233" t="s">
        <v>18</v>
      </c>
      <c r="O90" s="140"/>
    </row>
    <row r="91" spans="1:16" ht="19.899999999999999" customHeight="1" x14ac:dyDescent="0.25">
      <c r="A91" s="236"/>
      <c r="B91" s="239"/>
      <c r="C91" s="239"/>
      <c r="D91" s="239"/>
      <c r="E91" s="243"/>
      <c r="F91" s="244"/>
      <c r="G91" s="243"/>
      <c r="H91" s="244"/>
      <c r="I91" s="234"/>
      <c r="J91" s="234"/>
      <c r="K91" s="234"/>
      <c r="L91" s="234"/>
      <c r="M91" s="234"/>
      <c r="N91" s="236"/>
      <c r="O91" s="132"/>
    </row>
    <row r="92" spans="1:16" ht="19.899999999999999" customHeight="1" x14ac:dyDescent="0.25">
      <c r="A92" s="236"/>
      <c r="B92" s="239"/>
      <c r="C92" s="239"/>
      <c r="D92" s="239"/>
      <c r="E92" s="233" t="s">
        <v>10</v>
      </c>
      <c r="F92" s="233" t="s">
        <v>12</v>
      </c>
      <c r="G92" s="233" t="s">
        <v>14</v>
      </c>
      <c r="H92" s="233" t="s">
        <v>15</v>
      </c>
      <c r="I92" s="234"/>
      <c r="J92" s="234"/>
      <c r="K92" s="234"/>
      <c r="L92" s="234"/>
      <c r="M92" s="234"/>
      <c r="N92" s="236"/>
      <c r="O92" s="132"/>
    </row>
    <row r="93" spans="1:16" ht="19.899999999999999" customHeight="1" x14ac:dyDescent="0.25">
      <c r="A93" s="237"/>
      <c r="B93" s="240"/>
      <c r="C93" s="240"/>
      <c r="D93" s="240"/>
      <c r="E93" s="235"/>
      <c r="F93" s="235"/>
      <c r="G93" s="235"/>
      <c r="H93" s="235"/>
      <c r="I93" s="235"/>
      <c r="J93" s="235"/>
      <c r="K93" s="235"/>
      <c r="L93" s="235"/>
      <c r="M93" s="235"/>
      <c r="N93" s="237"/>
      <c r="O93" s="132"/>
    </row>
    <row r="94" spans="1:16" ht="19.149999999999999" customHeight="1" x14ac:dyDescent="0.25">
      <c r="A94" s="246" t="s">
        <v>42</v>
      </c>
      <c r="B94" s="247"/>
      <c r="C94" s="247"/>
      <c r="D94" s="247"/>
      <c r="E94" s="247"/>
      <c r="F94" s="247"/>
      <c r="G94" s="247"/>
      <c r="H94" s="247"/>
      <c r="I94" s="247"/>
      <c r="J94" s="247"/>
      <c r="K94" s="247"/>
      <c r="L94" s="247"/>
      <c r="M94" s="247"/>
      <c r="N94" s="248"/>
      <c r="O94" s="132"/>
    </row>
    <row r="95" spans="1:16" ht="18.600000000000001" customHeight="1" x14ac:dyDescent="0.25">
      <c r="A95" s="7">
        <v>1</v>
      </c>
      <c r="B95" s="8" t="s">
        <v>2</v>
      </c>
      <c r="C95" s="10">
        <f>L95/100*100</f>
        <v>60</v>
      </c>
      <c r="D95" s="11">
        <f>C95/100*60</f>
        <v>36</v>
      </c>
      <c r="E95" s="12">
        <f>C95/100*15</f>
        <v>9</v>
      </c>
      <c r="F95" s="12"/>
      <c r="G95" s="12"/>
      <c r="H95" s="12"/>
      <c r="I95" s="12"/>
      <c r="J95" s="19">
        <f>C95/100*387</f>
        <v>232.2</v>
      </c>
      <c r="K95" s="19">
        <f>C95/100*0.09</f>
        <v>5.3999999999999999E-2</v>
      </c>
      <c r="L95" s="99">
        <v>60</v>
      </c>
      <c r="M95" s="17">
        <v>20</v>
      </c>
      <c r="N95" s="10">
        <f>L95*M95</f>
        <v>1200</v>
      </c>
      <c r="O95" s="3"/>
    </row>
    <row r="96" spans="1:16" ht="18.600000000000001" customHeight="1" x14ac:dyDescent="0.25">
      <c r="A96" s="7">
        <v>2</v>
      </c>
      <c r="B96" s="118" t="s">
        <v>121</v>
      </c>
      <c r="C96" s="10">
        <f>L96/100*100</f>
        <v>90</v>
      </c>
      <c r="D96" s="11">
        <f>C96/100*899</f>
        <v>809.1</v>
      </c>
      <c r="E96" s="12"/>
      <c r="F96" s="12"/>
      <c r="G96" s="12">
        <f>C96/100*100</f>
        <v>90</v>
      </c>
      <c r="H96" s="12"/>
      <c r="I96" s="12"/>
      <c r="J96" s="19"/>
      <c r="K96" s="19"/>
      <c r="L96" s="99">
        <v>90</v>
      </c>
      <c r="M96" s="98">
        <v>68</v>
      </c>
      <c r="N96" s="101">
        <f t="shared" ref="N96:N104" si="4">L96*M96</f>
        <v>6120</v>
      </c>
      <c r="O96" s="3"/>
    </row>
    <row r="97" spans="1:20" ht="18.600000000000001" customHeight="1" x14ac:dyDescent="0.25">
      <c r="A97" s="7">
        <v>3</v>
      </c>
      <c r="B97" s="116" t="s">
        <v>126</v>
      </c>
      <c r="C97" s="10">
        <f t="shared" ref="C97" si="5">L97/100*100</f>
        <v>110.00000000000001</v>
      </c>
      <c r="D97" s="57">
        <f>C97/100*900</f>
        <v>990.00000000000011</v>
      </c>
      <c r="E97" s="12"/>
      <c r="F97" s="12"/>
      <c r="G97" s="81"/>
      <c r="H97" s="12">
        <f>C97/100*100</f>
        <v>110.00000000000001</v>
      </c>
      <c r="I97" s="12"/>
      <c r="J97" s="12"/>
      <c r="K97" s="12"/>
      <c r="L97" s="99">
        <v>110</v>
      </c>
      <c r="M97" s="57">
        <v>63.5</v>
      </c>
      <c r="N97" s="83">
        <f t="shared" si="4"/>
        <v>6985</v>
      </c>
      <c r="O97" s="141"/>
    </row>
    <row r="98" spans="1:20" ht="18.600000000000001" customHeight="1" x14ac:dyDescent="0.25">
      <c r="A98" s="7">
        <v>4</v>
      </c>
      <c r="B98" s="4" t="s">
        <v>1</v>
      </c>
      <c r="C98" s="10">
        <f>L98/100*100</f>
        <v>2021</v>
      </c>
      <c r="D98" s="11">
        <f>C98/100*355.6</f>
        <v>7186.6760000000004</v>
      </c>
      <c r="E98" s="12"/>
      <c r="F98" s="12">
        <f>C98/100*7.9</f>
        <v>159.65900000000002</v>
      </c>
      <c r="G98" s="12"/>
      <c r="H98" s="12">
        <f>C98/100*1</f>
        <v>20.21</v>
      </c>
      <c r="I98" s="12">
        <f>C98/100*75.9</f>
        <v>1533.9390000000001</v>
      </c>
      <c r="J98" s="19">
        <f>C98/100*30</f>
        <v>606.30000000000007</v>
      </c>
      <c r="K98" s="19">
        <f>C98/100*0.1</f>
        <v>2.0210000000000004</v>
      </c>
      <c r="L98" s="99">
        <v>2021</v>
      </c>
      <c r="M98" s="17">
        <v>18</v>
      </c>
      <c r="N98" s="10">
        <f t="shared" si="4"/>
        <v>36378</v>
      </c>
      <c r="O98" s="3"/>
    </row>
    <row r="99" spans="1:20" ht="18.600000000000001" customHeight="1" x14ac:dyDescent="0.25">
      <c r="A99" s="7">
        <v>5</v>
      </c>
      <c r="B99" s="4" t="s">
        <v>91</v>
      </c>
      <c r="C99" s="10">
        <f>L99/100*88</f>
        <v>1654.4</v>
      </c>
      <c r="D99" s="11">
        <f>C99/100*184</f>
        <v>3044.096</v>
      </c>
      <c r="E99" s="12">
        <f>C99/100*13</f>
        <v>215.072</v>
      </c>
      <c r="F99" s="12"/>
      <c r="G99" s="12">
        <f>C99/100*14.2</f>
        <v>234.9248</v>
      </c>
      <c r="H99" s="12"/>
      <c r="I99" s="12">
        <f>C99/100*1</f>
        <v>16.544</v>
      </c>
      <c r="J99" s="56">
        <f>C99/100*71</f>
        <v>1174.624</v>
      </c>
      <c r="K99" s="19">
        <f>C99/100*0.15</f>
        <v>2.4815999999999998</v>
      </c>
      <c r="L99" s="99">
        <v>1880</v>
      </c>
      <c r="M99" s="17">
        <v>62</v>
      </c>
      <c r="N99" s="10">
        <f t="shared" si="4"/>
        <v>116560</v>
      </c>
      <c r="O99" s="3"/>
      <c r="Q99" s="2"/>
      <c r="R99" s="2"/>
      <c r="S99" s="3"/>
    </row>
    <row r="100" spans="1:20" s="106" customFormat="1" ht="18.600000000000001" customHeight="1" x14ac:dyDescent="0.25">
      <c r="A100" s="120">
        <v>6</v>
      </c>
      <c r="B100" s="116" t="s">
        <v>67</v>
      </c>
      <c r="C100" s="101">
        <f>L100/100*98</f>
        <v>1244.5999999999999</v>
      </c>
      <c r="D100" s="121">
        <f>C100/100*139</f>
        <v>1729.9939999999999</v>
      </c>
      <c r="E100" s="92">
        <f>C100/100*19</f>
        <v>236.47399999999999</v>
      </c>
      <c r="F100" s="92"/>
      <c r="G100" s="92">
        <f>C100/100*7</f>
        <v>87.122</v>
      </c>
      <c r="H100" s="92"/>
      <c r="I100" s="92"/>
      <c r="J100" s="122">
        <f>C100/100*7</f>
        <v>87.122</v>
      </c>
      <c r="K100" s="122">
        <f>C100/100*0.9</f>
        <v>11.2014</v>
      </c>
      <c r="L100" s="99">
        <v>1270</v>
      </c>
      <c r="M100" s="123">
        <v>130</v>
      </c>
      <c r="N100" s="102">
        <f t="shared" si="4"/>
        <v>165100</v>
      </c>
      <c r="O100" s="142"/>
    </row>
    <row r="101" spans="1:20" ht="18.600000000000001" customHeight="1" x14ac:dyDescent="0.25">
      <c r="A101" s="7">
        <v>7</v>
      </c>
      <c r="B101" s="4" t="s">
        <v>20</v>
      </c>
      <c r="C101" s="10">
        <f>L101/100*95</f>
        <v>674.5</v>
      </c>
      <c r="D101" s="11">
        <f>C101/100*20</f>
        <v>134.9</v>
      </c>
      <c r="E101" s="12"/>
      <c r="F101" s="12">
        <f>C101/100*0.6</f>
        <v>4.0469999999999997</v>
      </c>
      <c r="G101" s="12"/>
      <c r="H101" s="12">
        <f>C101/100*0.2</f>
        <v>1.3490000000000002</v>
      </c>
      <c r="I101" s="12">
        <f>C101/100*4</f>
        <v>26.98</v>
      </c>
      <c r="J101" s="18">
        <f>C101/100*12</f>
        <v>80.94</v>
      </c>
      <c r="K101" s="18">
        <f>C101/100*0.04</f>
        <v>0.26979999999999998</v>
      </c>
      <c r="L101" s="143">
        <v>710</v>
      </c>
      <c r="M101" s="13">
        <v>40</v>
      </c>
      <c r="N101" s="10">
        <f t="shared" si="4"/>
        <v>28400</v>
      </c>
      <c r="O101" s="3"/>
      <c r="Q101" s="2"/>
      <c r="R101" s="2"/>
    </row>
    <row r="102" spans="1:20" ht="18.600000000000001" customHeight="1" x14ac:dyDescent="0.25">
      <c r="A102" s="7">
        <v>8</v>
      </c>
      <c r="B102" s="4" t="s">
        <v>117</v>
      </c>
      <c r="C102" s="10">
        <f>L102/100*100</f>
        <v>40</v>
      </c>
      <c r="D102" s="11">
        <f>C102/100*247</f>
        <v>98.800000000000011</v>
      </c>
      <c r="E102" s="14"/>
      <c r="F102" s="14">
        <f>C102/100*17.5</f>
        <v>7</v>
      </c>
      <c r="G102" s="14"/>
      <c r="H102" s="14">
        <f>C102/100*1.6</f>
        <v>0.64000000000000012</v>
      </c>
      <c r="I102" s="14">
        <f>C102/100*39.2</f>
        <v>15.680000000000001</v>
      </c>
      <c r="J102" s="18"/>
      <c r="K102" s="18"/>
      <c r="L102" s="143">
        <v>40</v>
      </c>
      <c r="M102" s="17">
        <v>50</v>
      </c>
      <c r="N102" s="101">
        <f t="shared" si="4"/>
        <v>2000</v>
      </c>
      <c r="O102" s="3"/>
      <c r="Q102" s="2"/>
      <c r="R102" s="2"/>
      <c r="S102" s="3"/>
      <c r="T102" s="2"/>
    </row>
    <row r="103" spans="1:20" ht="18.600000000000001" customHeight="1" x14ac:dyDescent="0.25">
      <c r="A103" s="7">
        <v>9</v>
      </c>
      <c r="B103" s="4" t="s">
        <v>139</v>
      </c>
      <c r="C103" s="10">
        <f>L103/100*87</f>
        <v>974.4</v>
      </c>
      <c r="D103" s="11">
        <f>C103/100*21</f>
        <v>204.624</v>
      </c>
      <c r="E103" s="14"/>
      <c r="F103" s="14">
        <f>C103/100*1.5</f>
        <v>14.616</v>
      </c>
      <c r="G103" s="14"/>
      <c r="H103" s="14">
        <f>C103/100*0.1</f>
        <v>0.97440000000000004</v>
      </c>
      <c r="I103" s="14">
        <f>C103/100*3.6</f>
        <v>35.078400000000002</v>
      </c>
      <c r="J103" s="14">
        <f>C103/100*40</f>
        <v>389.76</v>
      </c>
      <c r="K103" s="14">
        <f>C103/100*0.06</f>
        <v>0.58463999999999994</v>
      </c>
      <c r="L103" s="144">
        <v>1120</v>
      </c>
      <c r="M103" s="13">
        <v>18</v>
      </c>
      <c r="N103" s="10">
        <f t="shared" si="4"/>
        <v>20160</v>
      </c>
      <c r="O103" s="3"/>
      <c r="Q103" s="2"/>
      <c r="R103" s="2"/>
      <c r="S103" s="3"/>
    </row>
    <row r="104" spans="1:20" ht="18.600000000000001" customHeight="1" x14ac:dyDescent="0.25">
      <c r="A104" s="7">
        <v>10</v>
      </c>
      <c r="B104" s="4" t="s">
        <v>5</v>
      </c>
      <c r="C104" s="10">
        <f>L104/100*98.5</f>
        <v>285.64999999999998</v>
      </c>
      <c r="D104" s="11">
        <f>C104/100*39</f>
        <v>111.40349999999998</v>
      </c>
      <c r="E104" s="14"/>
      <c r="F104" s="14">
        <f>C104/100*1.5</f>
        <v>4.2847499999999989</v>
      </c>
      <c r="G104" s="14"/>
      <c r="H104" s="14">
        <f>C104/100*0.2</f>
        <v>0.57129999999999992</v>
      </c>
      <c r="I104" s="14">
        <f>C104/100*7.8</f>
        <v>22.280699999999996</v>
      </c>
      <c r="J104" s="18">
        <f>C104/100*43</f>
        <v>122.82949999999998</v>
      </c>
      <c r="K104" s="18">
        <f>C104/100*0.06</f>
        <v>0.17138999999999996</v>
      </c>
      <c r="L104" s="144">
        <v>290</v>
      </c>
      <c r="M104" s="13">
        <v>17</v>
      </c>
      <c r="N104" s="10">
        <f t="shared" si="4"/>
        <v>4930</v>
      </c>
      <c r="O104" s="3"/>
      <c r="Q104" s="2"/>
      <c r="R104" s="2"/>
      <c r="S104" s="3"/>
    </row>
    <row r="105" spans="1:20" ht="18.600000000000001" customHeight="1" x14ac:dyDescent="0.25">
      <c r="A105" s="7">
        <v>11</v>
      </c>
      <c r="B105" s="8" t="s">
        <v>111</v>
      </c>
      <c r="C105" s="10"/>
      <c r="D105" s="11"/>
      <c r="E105" s="12"/>
      <c r="F105" s="12"/>
      <c r="G105" s="12"/>
      <c r="H105" s="12"/>
      <c r="I105" s="12"/>
      <c r="J105" s="12"/>
      <c r="K105" s="12"/>
      <c r="L105" s="13"/>
      <c r="M105" s="13"/>
      <c r="N105" s="10">
        <v>3200</v>
      </c>
      <c r="O105" s="3"/>
      <c r="Q105" s="2"/>
      <c r="R105" s="2"/>
      <c r="S105" s="3"/>
      <c r="T105" s="2"/>
    </row>
    <row r="106" spans="1:20" ht="18.600000000000001" customHeight="1" x14ac:dyDescent="0.25">
      <c r="A106" s="20" t="s">
        <v>104</v>
      </c>
      <c r="B106" s="21"/>
      <c r="C106" s="22"/>
      <c r="D106" s="84">
        <f>SUM(D95:D105)</f>
        <v>14345.593499999999</v>
      </c>
      <c r="E106" s="5"/>
      <c r="F106" s="5"/>
      <c r="G106" s="5"/>
      <c r="H106" s="5"/>
      <c r="I106" s="5"/>
      <c r="J106" s="5"/>
      <c r="K106" s="5"/>
      <c r="L106" s="28"/>
      <c r="M106" s="28"/>
      <c r="N106" s="314">
        <f>SUM(N95:N105)</f>
        <v>391033</v>
      </c>
      <c r="O106" s="3"/>
    </row>
    <row r="107" spans="1:20" ht="18.600000000000001" customHeight="1" x14ac:dyDescent="0.25">
      <c r="A107" s="20" t="s">
        <v>43</v>
      </c>
      <c r="B107" s="21"/>
      <c r="C107" s="29"/>
      <c r="D107" s="30">
        <f>D106/C89</f>
        <v>305.22539361702127</v>
      </c>
      <c r="E107" s="30"/>
      <c r="F107" s="30"/>
      <c r="G107" s="30"/>
      <c r="H107" s="30"/>
      <c r="I107" s="30"/>
      <c r="J107" s="30"/>
      <c r="K107" s="30"/>
      <c r="L107" s="28"/>
      <c r="M107" s="28"/>
      <c r="N107" s="315"/>
      <c r="O107" s="3"/>
    </row>
    <row r="108" spans="1:20" ht="18.600000000000001" customHeight="1" x14ac:dyDescent="0.25">
      <c r="A108" s="307" t="s">
        <v>52</v>
      </c>
      <c r="B108" s="218"/>
      <c r="C108" s="145" t="s">
        <v>132</v>
      </c>
      <c r="D108" s="26" t="s">
        <v>38</v>
      </c>
      <c r="E108" s="30"/>
      <c r="F108" s="30"/>
      <c r="G108" s="30"/>
      <c r="H108" s="30"/>
      <c r="I108" s="30"/>
      <c r="J108" s="31"/>
      <c r="K108" s="31"/>
      <c r="L108" s="28"/>
      <c r="M108" s="28"/>
      <c r="N108" s="137"/>
      <c r="O108" s="3"/>
    </row>
    <row r="109" spans="1:20" ht="18.600000000000001" customHeight="1" x14ac:dyDescent="0.25">
      <c r="A109" s="219"/>
      <c r="B109" s="220"/>
      <c r="C109" s="54" t="s">
        <v>58</v>
      </c>
      <c r="D109" s="26">
        <f>D107*100/930</f>
        <v>32.819934797529164</v>
      </c>
      <c r="E109" s="30"/>
      <c r="F109" s="30"/>
      <c r="G109" s="30"/>
      <c r="H109" s="30"/>
      <c r="I109" s="30"/>
      <c r="J109" s="31"/>
      <c r="K109" s="31"/>
      <c r="L109" s="28"/>
      <c r="M109" s="28"/>
      <c r="N109" s="137"/>
      <c r="O109" s="3"/>
    </row>
    <row r="110" spans="1:20" ht="18.600000000000001" customHeight="1" x14ac:dyDescent="0.3">
      <c r="A110" s="245" t="s">
        <v>45</v>
      </c>
      <c r="B110" s="245"/>
      <c r="C110" s="39"/>
      <c r="D110" s="40"/>
      <c r="E110" s="41"/>
      <c r="F110" s="41"/>
      <c r="G110" s="41"/>
      <c r="H110" s="41"/>
      <c r="I110" s="41"/>
      <c r="J110" s="41"/>
      <c r="K110" s="41"/>
      <c r="L110" s="42"/>
      <c r="M110" s="42"/>
      <c r="N110" s="39"/>
      <c r="O110" s="3"/>
    </row>
    <row r="111" spans="1:20" ht="18.600000000000001" customHeight="1" x14ac:dyDescent="0.25">
      <c r="A111" s="7">
        <v>1</v>
      </c>
      <c r="B111" s="8" t="s">
        <v>2</v>
      </c>
      <c r="C111" s="10">
        <f>L111/100*100</f>
        <v>60</v>
      </c>
      <c r="D111" s="11">
        <f>C111/100*60</f>
        <v>36</v>
      </c>
      <c r="E111" s="12">
        <f>C111/100*15</f>
        <v>9</v>
      </c>
      <c r="F111" s="12"/>
      <c r="G111" s="12"/>
      <c r="H111" s="12"/>
      <c r="I111" s="12"/>
      <c r="J111" s="19">
        <f>C111/100*387</f>
        <v>232.2</v>
      </c>
      <c r="K111" s="19">
        <f>C111/100*0.09</f>
        <v>5.3999999999999999E-2</v>
      </c>
      <c r="L111" s="13">
        <v>60</v>
      </c>
      <c r="M111" s="17">
        <v>20</v>
      </c>
      <c r="N111" s="10">
        <f>L111*M111</f>
        <v>1200</v>
      </c>
      <c r="O111" s="3"/>
    </row>
    <row r="112" spans="1:20" ht="18.600000000000001" customHeight="1" x14ac:dyDescent="0.25">
      <c r="A112" s="7">
        <v>2</v>
      </c>
      <c r="B112" s="118" t="s">
        <v>121</v>
      </c>
      <c r="C112" s="10">
        <f>L112/100*100</f>
        <v>290</v>
      </c>
      <c r="D112" s="11">
        <f>C112/100*899</f>
        <v>2607.1</v>
      </c>
      <c r="E112" s="12"/>
      <c r="F112" s="12"/>
      <c r="G112" s="12">
        <f>C112/100*100</f>
        <v>290</v>
      </c>
      <c r="H112" s="12"/>
      <c r="I112" s="12"/>
      <c r="J112" s="19"/>
      <c r="K112" s="19"/>
      <c r="L112" s="99">
        <v>290</v>
      </c>
      <c r="M112" s="98">
        <v>68</v>
      </c>
      <c r="N112" s="101">
        <f t="shared" ref="N112:N118" si="6">L112*M112</f>
        <v>19720</v>
      </c>
      <c r="O112" s="3"/>
    </row>
    <row r="113" spans="1:20" ht="18.600000000000001" customHeight="1" x14ac:dyDescent="0.25">
      <c r="A113" s="7">
        <v>3</v>
      </c>
      <c r="B113" s="4" t="s">
        <v>1</v>
      </c>
      <c r="C113" s="10">
        <f>L113/100*100</f>
        <v>1175</v>
      </c>
      <c r="D113" s="11">
        <f>C113/100*355.6</f>
        <v>4178.3</v>
      </c>
      <c r="E113" s="12"/>
      <c r="F113" s="12">
        <f>C113/100*7.9</f>
        <v>92.825000000000003</v>
      </c>
      <c r="G113" s="12"/>
      <c r="H113" s="12">
        <f>C113/100*1</f>
        <v>11.75</v>
      </c>
      <c r="I113" s="12">
        <f>C113/100*75.9</f>
        <v>891.82500000000005</v>
      </c>
      <c r="J113" s="19">
        <f>C113/100*30</f>
        <v>352.5</v>
      </c>
      <c r="K113" s="19">
        <f>C113/100*0.1</f>
        <v>1.175</v>
      </c>
      <c r="L113" s="13">
        <v>1175</v>
      </c>
      <c r="M113" s="17">
        <v>18</v>
      </c>
      <c r="N113" s="10">
        <f t="shared" si="6"/>
        <v>21150</v>
      </c>
      <c r="O113" s="3"/>
    </row>
    <row r="114" spans="1:20" ht="18.600000000000001" customHeight="1" x14ac:dyDescent="0.25">
      <c r="A114" s="7">
        <v>4</v>
      </c>
      <c r="B114" s="4" t="s">
        <v>65</v>
      </c>
      <c r="C114" s="10">
        <f>L114/100*100</f>
        <v>710</v>
      </c>
      <c r="D114" s="11">
        <f>C114/100*344</f>
        <v>2442.4</v>
      </c>
      <c r="E114" s="12"/>
      <c r="F114" s="12">
        <f>C114/100*8.6</f>
        <v>61.059999999999995</v>
      </c>
      <c r="G114" s="12"/>
      <c r="H114" s="12">
        <f>C114/100*1.5</f>
        <v>10.649999999999999</v>
      </c>
      <c r="I114" s="12">
        <f>C114/100*74.5</f>
        <v>528.94999999999993</v>
      </c>
      <c r="J114" s="12">
        <f>C114/100*32</f>
        <v>227.2</v>
      </c>
      <c r="K114" s="19">
        <f>C114/100*0.14</f>
        <v>0.99399999999999999</v>
      </c>
      <c r="L114" s="13">
        <v>710</v>
      </c>
      <c r="M114" s="17">
        <v>30</v>
      </c>
      <c r="N114" s="10">
        <f t="shared" si="6"/>
        <v>21300</v>
      </c>
      <c r="O114" s="3"/>
      <c r="P114" s="146"/>
    </row>
    <row r="115" spans="1:20" ht="18.600000000000001" customHeight="1" x14ac:dyDescent="0.25">
      <c r="A115" s="7">
        <v>5</v>
      </c>
      <c r="B115" s="4" t="s">
        <v>4</v>
      </c>
      <c r="C115" s="10">
        <f>L115/100*98</f>
        <v>872.2</v>
      </c>
      <c r="D115" s="11">
        <f>C115/100*118</f>
        <v>1029.1960000000001</v>
      </c>
      <c r="E115" s="12">
        <f>C115/100*21</f>
        <v>183.16200000000003</v>
      </c>
      <c r="F115" s="12"/>
      <c r="G115" s="12">
        <f>C115/100*3.8</f>
        <v>33.143600000000006</v>
      </c>
      <c r="H115" s="12"/>
      <c r="I115" s="12"/>
      <c r="J115" s="19">
        <f>C115/100*12</f>
        <v>104.66400000000002</v>
      </c>
      <c r="K115" s="19">
        <f>C115/100*0.1</f>
        <v>0.8722000000000002</v>
      </c>
      <c r="L115" s="99">
        <v>890</v>
      </c>
      <c r="M115" s="13">
        <v>250</v>
      </c>
      <c r="N115" s="83">
        <f t="shared" si="6"/>
        <v>222500</v>
      </c>
      <c r="O115" s="142"/>
      <c r="Q115" s="2"/>
      <c r="R115" s="2"/>
      <c r="S115" s="3"/>
    </row>
    <row r="116" spans="1:20" ht="17.45" customHeight="1" x14ac:dyDescent="0.25">
      <c r="A116" s="7">
        <v>6</v>
      </c>
      <c r="B116" s="4" t="s">
        <v>3</v>
      </c>
      <c r="C116" s="10">
        <f>L116/100*48</f>
        <v>676.8</v>
      </c>
      <c r="D116" s="11">
        <f>C116/100*199</f>
        <v>1346.8319999999999</v>
      </c>
      <c r="E116" s="12">
        <f>C116/100*20.3</f>
        <v>137.3904</v>
      </c>
      <c r="F116" s="12"/>
      <c r="G116" s="12">
        <f>C116/100*13.1</f>
        <v>88.660799999999995</v>
      </c>
      <c r="H116" s="12"/>
      <c r="I116" s="12"/>
      <c r="J116" s="19">
        <f>C116/100*12</f>
        <v>81.215999999999994</v>
      </c>
      <c r="K116" s="19">
        <f>C116/100*0.15</f>
        <v>1.0151999999999999</v>
      </c>
      <c r="L116" s="99">
        <v>1410</v>
      </c>
      <c r="M116" s="13">
        <v>84</v>
      </c>
      <c r="N116" s="10">
        <f t="shared" si="6"/>
        <v>118440</v>
      </c>
      <c r="O116" s="3"/>
      <c r="Q116" s="2"/>
      <c r="R116" s="2"/>
      <c r="S116" s="3"/>
    </row>
    <row r="117" spans="1:20" ht="18.600000000000001" customHeight="1" x14ac:dyDescent="0.25">
      <c r="A117" s="7">
        <v>7</v>
      </c>
      <c r="B117" s="4" t="s">
        <v>80</v>
      </c>
      <c r="C117" s="10">
        <f>L117/100*82</f>
        <v>770.80000000000007</v>
      </c>
      <c r="D117" s="11">
        <f>C117/100*27</f>
        <v>208.11600000000004</v>
      </c>
      <c r="E117" s="14"/>
      <c r="F117" s="14">
        <f>C117/100*0.3</f>
        <v>2.3124000000000002</v>
      </c>
      <c r="G117" s="14"/>
      <c r="H117" s="14">
        <f>C117/100*0.1</f>
        <v>0.77080000000000015</v>
      </c>
      <c r="I117" s="14">
        <f>C117/100*6.1</f>
        <v>47.018800000000006</v>
      </c>
      <c r="J117" s="18">
        <f>C117/100*24</f>
        <v>184.99200000000002</v>
      </c>
      <c r="K117" s="18">
        <f>C117/100*0.03</f>
        <v>0.23124000000000003</v>
      </c>
      <c r="L117" s="144">
        <v>940</v>
      </c>
      <c r="M117" s="13">
        <v>22</v>
      </c>
      <c r="N117" s="10">
        <f t="shared" si="6"/>
        <v>20680</v>
      </c>
      <c r="O117" s="3"/>
      <c r="Q117" s="2"/>
      <c r="R117" s="2"/>
      <c r="S117" s="3"/>
    </row>
    <row r="118" spans="1:20" ht="18.600000000000001" customHeight="1" x14ac:dyDescent="0.25">
      <c r="A118" s="7">
        <v>8</v>
      </c>
      <c r="B118" s="4" t="s">
        <v>117</v>
      </c>
      <c r="C118" s="10">
        <f>L118/100*100</f>
        <v>40</v>
      </c>
      <c r="D118" s="11">
        <f>C118/100*247</f>
        <v>98.800000000000011</v>
      </c>
      <c r="E118" s="14"/>
      <c r="F118" s="14">
        <f>C118/100*17.5</f>
        <v>7</v>
      </c>
      <c r="G118" s="14"/>
      <c r="H118" s="14">
        <f>C118/100*1.6</f>
        <v>0.64000000000000012</v>
      </c>
      <c r="I118" s="14">
        <f>C118/100*39.2</f>
        <v>15.680000000000001</v>
      </c>
      <c r="J118" s="18"/>
      <c r="K118" s="18"/>
      <c r="L118" s="143">
        <v>40</v>
      </c>
      <c r="M118" s="17">
        <v>50</v>
      </c>
      <c r="N118" s="101">
        <f t="shared" si="6"/>
        <v>2000</v>
      </c>
      <c r="O118" s="3"/>
      <c r="Q118" s="2"/>
      <c r="R118" s="2"/>
      <c r="S118" s="3"/>
      <c r="T118" s="2"/>
    </row>
    <row r="119" spans="1:20" ht="18.600000000000001" customHeight="1" x14ac:dyDescent="0.25">
      <c r="A119" s="7">
        <v>9</v>
      </c>
      <c r="B119" s="8" t="s">
        <v>111</v>
      </c>
      <c r="C119" s="10"/>
      <c r="D119" s="11"/>
      <c r="E119" s="12"/>
      <c r="F119" s="12"/>
      <c r="G119" s="12"/>
      <c r="H119" s="12"/>
      <c r="I119" s="12"/>
      <c r="J119" s="12"/>
      <c r="K119" s="12"/>
      <c r="L119" s="13"/>
      <c r="M119" s="13"/>
      <c r="N119" s="10">
        <v>8150</v>
      </c>
      <c r="O119" s="3"/>
      <c r="Q119" s="2"/>
      <c r="R119" s="2"/>
      <c r="S119" s="3"/>
      <c r="T119" s="2"/>
    </row>
    <row r="120" spans="1:20" ht="18.600000000000001" customHeight="1" x14ac:dyDescent="0.25">
      <c r="A120" s="20" t="s">
        <v>105</v>
      </c>
      <c r="B120" s="21"/>
      <c r="C120" s="22"/>
      <c r="D120" s="84">
        <f>SUM(D111:D119)</f>
        <v>11946.743999999999</v>
      </c>
      <c r="E120" s="5"/>
      <c r="F120" s="5"/>
      <c r="G120" s="5"/>
      <c r="H120" s="5"/>
      <c r="I120" s="5"/>
      <c r="J120" s="5"/>
      <c r="K120" s="5"/>
      <c r="L120" s="28"/>
      <c r="M120" s="28"/>
      <c r="N120" s="314">
        <f>SUM(N111:N119)</f>
        <v>435140</v>
      </c>
      <c r="O120" s="3"/>
    </row>
    <row r="121" spans="1:20" ht="18.600000000000001" customHeight="1" x14ac:dyDescent="0.25">
      <c r="A121" s="20" t="s">
        <v>46</v>
      </c>
      <c r="B121" s="21"/>
      <c r="C121" s="45"/>
      <c r="D121" s="31">
        <f>D120/C89</f>
        <v>254.18604255319147</v>
      </c>
      <c r="E121" s="31"/>
      <c r="F121" s="31"/>
      <c r="G121" s="31"/>
      <c r="H121" s="31"/>
      <c r="I121" s="31"/>
      <c r="J121" s="31"/>
      <c r="K121" s="31"/>
      <c r="L121" s="46"/>
      <c r="M121" s="28"/>
      <c r="N121" s="315"/>
      <c r="O121" s="3"/>
    </row>
    <row r="122" spans="1:20" ht="18.600000000000001" customHeight="1" x14ac:dyDescent="0.25">
      <c r="A122" s="307" t="s">
        <v>53</v>
      </c>
      <c r="B122" s="218"/>
      <c r="C122" s="145" t="s">
        <v>132</v>
      </c>
      <c r="D122" s="26" t="s">
        <v>48</v>
      </c>
      <c r="E122" s="30"/>
      <c r="F122" s="30"/>
      <c r="G122" s="30"/>
      <c r="H122" s="30"/>
      <c r="I122" s="30"/>
      <c r="J122" s="31"/>
      <c r="K122" s="31"/>
      <c r="L122" s="28"/>
      <c r="M122" s="28"/>
      <c r="N122" s="137"/>
      <c r="O122" s="3"/>
    </row>
    <row r="123" spans="1:20" ht="18.600000000000001" customHeight="1" x14ac:dyDescent="0.25">
      <c r="A123" s="219"/>
      <c r="B123" s="220"/>
      <c r="C123" s="54" t="s">
        <v>58</v>
      </c>
      <c r="D123" s="26">
        <f>D121*100/930</f>
        <v>27.331832532601233</v>
      </c>
      <c r="E123" s="30"/>
      <c r="F123" s="30"/>
      <c r="G123" s="30"/>
      <c r="H123" s="30"/>
      <c r="I123" s="30"/>
      <c r="J123" s="31"/>
      <c r="K123" s="31"/>
      <c r="L123" s="28"/>
      <c r="M123" s="28"/>
      <c r="N123" s="137"/>
      <c r="O123" s="3"/>
    </row>
    <row r="124" spans="1:20" ht="18.600000000000001" customHeight="1" x14ac:dyDescent="0.3">
      <c r="A124" s="245" t="s">
        <v>39</v>
      </c>
      <c r="B124" s="245"/>
      <c r="C124" s="47"/>
      <c r="D124" s="48"/>
      <c r="E124" s="48"/>
      <c r="F124" s="48"/>
      <c r="G124" s="48"/>
      <c r="H124" s="48"/>
      <c r="I124" s="48"/>
      <c r="J124" s="48"/>
      <c r="K124" s="48"/>
      <c r="L124" s="49"/>
      <c r="M124" s="49"/>
      <c r="N124" s="50"/>
      <c r="O124" s="3"/>
      <c r="S124" s="128"/>
    </row>
    <row r="125" spans="1:20" ht="18.600000000000001" customHeight="1" x14ac:dyDescent="0.25">
      <c r="A125" s="107">
        <v>1</v>
      </c>
      <c r="B125" s="126" t="s">
        <v>130</v>
      </c>
      <c r="C125" s="22">
        <f>L125/100*100</f>
        <v>800</v>
      </c>
      <c r="D125" s="108">
        <f>C125/100*487</f>
        <v>3896</v>
      </c>
      <c r="E125" s="24"/>
      <c r="F125" s="24">
        <f>C125/100*19.5</f>
        <v>156</v>
      </c>
      <c r="G125" s="24"/>
      <c r="H125" s="24">
        <f>C125/100*23.2</f>
        <v>185.6</v>
      </c>
      <c r="I125" s="24">
        <f>C125/100*46</f>
        <v>368</v>
      </c>
      <c r="J125" s="109">
        <f>C125/100*680</f>
        <v>5440</v>
      </c>
      <c r="K125" s="24">
        <f>C125/100*0.55</f>
        <v>4.4000000000000004</v>
      </c>
      <c r="L125" s="25">
        <v>800</v>
      </c>
      <c r="M125" s="127">
        <v>260</v>
      </c>
      <c r="N125" s="22">
        <f t="shared" ref="N125" si="7">L125*M125</f>
        <v>208000</v>
      </c>
      <c r="O125" s="3"/>
      <c r="P125" s="2"/>
    </row>
    <row r="126" spans="1:20" ht="20.45" customHeight="1" x14ac:dyDescent="0.25">
      <c r="A126" s="233" t="s">
        <v>0</v>
      </c>
      <c r="B126" s="238" t="s">
        <v>19</v>
      </c>
      <c r="C126" s="238" t="s">
        <v>8</v>
      </c>
      <c r="D126" s="238" t="s">
        <v>9</v>
      </c>
      <c r="E126" s="241" t="s">
        <v>11</v>
      </c>
      <c r="F126" s="242"/>
      <c r="G126" s="241" t="s">
        <v>13</v>
      </c>
      <c r="H126" s="242"/>
      <c r="I126" s="233" t="s">
        <v>16</v>
      </c>
      <c r="J126" s="233" t="s">
        <v>32</v>
      </c>
      <c r="K126" s="233" t="s">
        <v>33</v>
      </c>
      <c r="L126" s="233" t="s">
        <v>17</v>
      </c>
      <c r="M126" s="233" t="s">
        <v>34</v>
      </c>
      <c r="N126" s="233" t="s">
        <v>18</v>
      </c>
      <c r="O126" s="140"/>
    </row>
    <row r="127" spans="1:20" ht="20.45" customHeight="1" x14ac:dyDescent="0.25">
      <c r="A127" s="236"/>
      <c r="B127" s="239"/>
      <c r="C127" s="239"/>
      <c r="D127" s="239"/>
      <c r="E127" s="243"/>
      <c r="F127" s="244"/>
      <c r="G127" s="243"/>
      <c r="H127" s="244"/>
      <c r="I127" s="234"/>
      <c r="J127" s="234"/>
      <c r="K127" s="234"/>
      <c r="L127" s="234"/>
      <c r="M127" s="234"/>
      <c r="N127" s="236"/>
      <c r="O127" s="132"/>
    </row>
    <row r="128" spans="1:20" ht="20.45" customHeight="1" x14ac:dyDescent="0.25">
      <c r="A128" s="236"/>
      <c r="B128" s="239"/>
      <c r="C128" s="239"/>
      <c r="D128" s="239"/>
      <c r="E128" s="233" t="s">
        <v>10</v>
      </c>
      <c r="F128" s="233" t="s">
        <v>12</v>
      </c>
      <c r="G128" s="233" t="s">
        <v>14</v>
      </c>
      <c r="H128" s="233" t="s">
        <v>15</v>
      </c>
      <c r="I128" s="234"/>
      <c r="J128" s="234"/>
      <c r="K128" s="234"/>
      <c r="L128" s="234"/>
      <c r="M128" s="234"/>
      <c r="N128" s="236"/>
      <c r="O128" s="132"/>
    </row>
    <row r="129" spans="1:22" ht="20.45" customHeight="1" x14ac:dyDescent="0.25">
      <c r="A129" s="237"/>
      <c r="B129" s="240"/>
      <c r="C129" s="240"/>
      <c r="D129" s="240"/>
      <c r="E129" s="235"/>
      <c r="F129" s="235"/>
      <c r="G129" s="235"/>
      <c r="H129" s="235"/>
      <c r="I129" s="235"/>
      <c r="J129" s="235"/>
      <c r="K129" s="235"/>
      <c r="L129" s="235"/>
      <c r="M129" s="235"/>
      <c r="N129" s="237"/>
      <c r="O129" s="132"/>
    </row>
    <row r="130" spans="1:22" ht="21" customHeight="1" x14ac:dyDescent="0.25">
      <c r="A130" s="20" t="s">
        <v>98</v>
      </c>
      <c r="B130" s="21"/>
      <c r="C130" s="22"/>
      <c r="D130" s="23">
        <f>SUM(D124:D125)</f>
        <v>3896</v>
      </c>
      <c r="E130" s="5"/>
      <c r="F130" s="5"/>
      <c r="G130" s="5"/>
      <c r="H130" s="5"/>
      <c r="I130" s="5"/>
      <c r="J130" s="5"/>
      <c r="K130" s="5"/>
      <c r="L130" s="28"/>
      <c r="M130" s="46"/>
      <c r="N130" s="314">
        <f>SUM(N124:N125)</f>
        <v>208000</v>
      </c>
      <c r="O130" s="3"/>
    </row>
    <row r="131" spans="1:22" ht="21" customHeight="1" x14ac:dyDescent="0.25">
      <c r="A131" s="20" t="s">
        <v>7</v>
      </c>
      <c r="B131" s="21"/>
      <c r="C131" s="29"/>
      <c r="D131" s="30">
        <f>D130/C89</f>
        <v>82.893617021276597</v>
      </c>
      <c r="E131" s="30"/>
      <c r="F131" s="30"/>
      <c r="G131" s="30"/>
      <c r="H131" s="30"/>
      <c r="I131" s="30"/>
      <c r="J131" s="30"/>
      <c r="K131" s="30"/>
      <c r="L131" s="28"/>
      <c r="M131" s="15"/>
      <c r="N131" s="315"/>
      <c r="O131" s="3"/>
    </row>
    <row r="132" spans="1:22" ht="21" customHeight="1" x14ac:dyDescent="0.25">
      <c r="A132" s="307" t="s">
        <v>51</v>
      </c>
      <c r="B132" s="218"/>
      <c r="C132" s="53" t="s">
        <v>57</v>
      </c>
      <c r="D132" s="26" t="s">
        <v>49</v>
      </c>
      <c r="E132" s="30"/>
      <c r="F132" s="30"/>
      <c r="G132" s="30"/>
      <c r="H132" s="30"/>
      <c r="I132" s="30"/>
      <c r="J132" s="31"/>
      <c r="K132" s="31"/>
      <c r="L132" s="28"/>
      <c r="M132" s="28"/>
      <c r="N132" s="137"/>
      <c r="O132" s="3"/>
    </row>
    <row r="133" spans="1:22" ht="21" customHeight="1" x14ac:dyDescent="0.25">
      <c r="A133" s="219"/>
      <c r="B133" s="220"/>
      <c r="C133" s="54" t="s">
        <v>58</v>
      </c>
      <c r="D133" s="26">
        <f>D131*100/930</f>
        <v>8.9132921528254414</v>
      </c>
      <c r="E133" s="30"/>
      <c r="F133" s="30"/>
      <c r="G133" s="30"/>
      <c r="H133" s="30"/>
      <c r="I133" s="30"/>
      <c r="J133" s="31"/>
      <c r="K133" s="31"/>
      <c r="L133" s="28"/>
      <c r="M133" s="28"/>
      <c r="N133" s="137"/>
      <c r="O133" s="3"/>
    </row>
    <row r="134" spans="1:22" ht="21" customHeight="1" x14ac:dyDescent="0.25">
      <c r="A134" s="221" t="s">
        <v>99</v>
      </c>
      <c r="B134" s="222"/>
      <c r="C134" s="225"/>
      <c r="D134" s="227">
        <f>D106+D120+D130</f>
        <v>30188.337499999998</v>
      </c>
      <c r="E134" s="5">
        <f t="shared" ref="E134:I134" si="8">SUM(E95:E125)</f>
        <v>790.09840000000008</v>
      </c>
      <c r="F134" s="5">
        <f t="shared" si="8"/>
        <v>508.80415000000005</v>
      </c>
      <c r="G134" s="5">
        <f t="shared" si="8"/>
        <v>823.85120000000006</v>
      </c>
      <c r="H134" s="5">
        <f t="shared" si="8"/>
        <v>343.15549999999996</v>
      </c>
      <c r="I134" s="229">
        <f t="shared" si="8"/>
        <v>3501.9758999999999</v>
      </c>
      <c r="J134" s="278">
        <f>SUM(J95:J125)</f>
        <v>9316.5475000000006</v>
      </c>
      <c r="K134" s="229">
        <f>SUM(K95:K125)</f>
        <v>25.525469999999999</v>
      </c>
      <c r="L134" s="193"/>
      <c r="M134" s="193"/>
      <c r="N134" s="312">
        <f>N106+N120+N125</f>
        <v>1034173</v>
      </c>
    </row>
    <row r="135" spans="1:22" ht="21" customHeight="1" x14ac:dyDescent="0.25">
      <c r="A135" s="223"/>
      <c r="B135" s="224"/>
      <c r="C135" s="226"/>
      <c r="D135" s="228"/>
      <c r="E135" s="195">
        <f>E134+F134</f>
        <v>1298.9025500000002</v>
      </c>
      <c r="F135" s="196"/>
      <c r="G135" s="195">
        <f>G134+H134</f>
        <v>1167.0066999999999</v>
      </c>
      <c r="H135" s="196"/>
      <c r="I135" s="230"/>
      <c r="J135" s="279"/>
      <c r="K135" s="230"/>
      <c r="L135" s="193"/>
      <c r="M135" s="193"/>
      <c r="N135" s="312"/>
    </row>
    <row r="136" spans="1:22" ht="21" customHeight="1" x14ac:dyDescent="0.25">
      <c r="A136" s="200" t="s">
        <v>75</v>
      </c>
      <c r="B136" s="201"/>
      <c r="C136" s="202"/>
      <c r="D136" s="90">
        <f>D134/C89</f>
        <v>642.30505319148926</v>
      </c>
      <c r="E136" s="96">
        <f>E134/C89</f>
        <v>16.810604255319152</v>
      </c>
      <c r="F136" s="95">
        <f>F134/C89</f>
        <v>10.825620212765958</v>
      </c>
      <c r="G136" s="96">
        <f>G134/C89</f>
        <v>17.528748936170214</v>
      </c>
      <c r="H136" s="95">
        <f>H134/C89</f>
        <v>7.3011808510638287</v>
      </c>
      <c r="I136" s="206">
        <f>I134/C89</f>
        <v>74.510125531914895</v>
      </c>
      <c r="J136" s="206">
        <f>J134/C89</f>
        <v>198.22441489361702</v>
      </c>
      <c r="K136" s="206">
        <f>K134/C89</f>
        <v>0.54309510638297864</v>
      </c>
      <c r="L136" s="193"/>
      <c r="M136" s="193"/>
      <c r="N136" s="312"/>
    </row>
    <row r="137" spans="1:22" ht="21" customHeight="1" x14ac:dyDescent="0.25">
      <c r="A137" s="203"/>
      <c r="B137" s="204"/>
      <c r="C137" s="205"/>
      <c r="D137" s="88"/>
      <c r="E137" s="190">
        <f>E136+F136</f>
        <v>27.636224468085111</v>
      </c>
      <c r="F137" s="191"/>
      <c r="G137" s="190">
        <f>G136+H136</f>
        <v>24.829929787234043</v>
      </c>
      <c r="H137" s="191"/>
      <c r="I137" s="207"/>
      <c r="J137" s="207"/>
      <c r="K137" s="207"/>
      <c r="L137" s="193"/>
      <c r="M137" s="193"/>
      <c r="N137" s="312"/>
      <c r="P137" s="106"/>
      <c r="Q137" s="188"/>
      <c r="R137" s="188"/>
      <c r="S137" s="188"/>
      <c r="T137" s="188"/>
      <c r="U137" s="189"/>
      <c r="V137" s="189"/>
    </row>
    <row r="138" spans="1:22" ht="21" customHeight="1" x14ac:dyDescent="0.25">
      <c r="A138" s="211" t="s">
        <v>76</v>
      </c>
      <c r="B138" s="212"/>
      <c r="C138" s="213"/>
      <c r="D138" s="136" t="s">
        <v>28</v>
      </c>
      <c r="E138" s="184" t="s">
        <v>24</v>
      </c>
      <c r="F138" s="184"/>
      <c r="G138" s="184" t="s">
        <v>25</v>
      </c>
      <c r="H138" s="184"/>
      <c r="I138" s="136" t="s">
        <v>26</v>
      </c>
      <c r="J138" s="133">
        <v>500</v>
      </c>
      <c r="K138" s="133">
        <v>0.59</v>
      </c>
      <c r="L138" s="193"/>
      <c r="M138" s="193"/>
      <c r="N138" s="312"/>
      <c r="O138" s="147"/>
      <c r="P138" s="154"/>
      <c r="Q138" s="188"/>
      <c r="R138" s="188"/>
      <c r="S138" s="192"/>
      <c r="T138" s="192"/>
      <c r="U138" s="188"/>
      <c r="V138" s="188"/>
    </row>
    <row r="139" spans="1:22" ht="21" customHeight="1" x14ac:dyDescent="0.25">
      <c r="A139" s="180" t="s">
        <v>69</v>
      </c>
      <c r="B139" s="185"/>
      <c r="C139" s="181"/>
      <c r="D139" s="16"/>
      <c r="E139" s="186">
        <f>E137*4.1</f>
        <v>113.30852031914894</v>
      </c>
      <c r="F139" s="187"/>
      <c r="G139" s="186">
        <f>G137*9</f>
        <v>223.4693680851064</v>
      </c>
      <c r="H139" s="187"/>
      <c r="I139" s="60">
        <f>I136*4.1</f>
        <v>305.49151468085103</v>
      </c>
      <c r="J139" s="197"/>
      <c r="K139" s="197"/>
      <c r="L139" s="193"/>
      <c r="M139" s="193"/>
      <c r="N139" s="312"/>
      <c r="O139" s="147"/>
      <c r="P139" s="151"/>
      <c r="Q139" s="152"/>
      <c r="R139" s="152"/>
      <c r="S139" s="152"/>
      <c r="T139" s="106"/>
      <c r="U139" s="106"/>
      <c r="V139" s="106"/>
    </row>
    <row r="140" spans="1:22" ht="21" customHeight="1" x14ac:dyDescent="0.25">
      <c r="A140" s="176" t="s">
        <v>77</v>
      </c>
      <c r="B140" s="177"/>
      <c r="C140" s="180" t="s">
        <v>58</v>
      </c>
      <c r="D140" s="181"/>
      <c r="E140" s="182">
        <f>E139*100/D136</f>
        <v>17.640919957914214</v>
      </c>
      <c r="F140" s="183"/>
      <c r="G140" s="182">
        <f>G139*100/D136</f>
        <v>34.791781097584462</v>
      </c>
      <c r="H140" s="183"/>
      <c r="I140" s="75">
        <f>I139*100/D136</f>
        <v>47.561748605732262</v>
      </c>
      <c r="J140" s="198"/>
      <c r="K140" s="198"/>
      <c r="L140" s="193"/>
      <c r="M140" s="193"/>
      <c r="N140" s="312"/>
      <c r="O140" s="147"/>
      <c r="P140" s="106"/>
      <c r="Q140" s="153"/>
      <c r="R140" s="106"/>
      <c r="S140" s="106"/>
      <c r="T140" s="106"/>
      <c r="U140" s="106"/>
      <c r="V140" s="106"/>
    </row>
    <row r="141" spans="1:22" ht="21" customHeight="1" x14ac:dyDescent="0.25">
      <c r="A141" s="178"/>
      <c r="B141" s="179"/>
      <c r="C141" s="180" t="s">
        <v>71</v>
      </c>
      <c r="D141" s="181"/>
      <c r="E141" s="180" t="s">
        <v>72</v>
      </c>
      <c r="F141" s="181"/>
      <c r="G141" s="180" t="s">
        <v>78</v>
      </c>
      <c r="H141" s="181"/>
      <c r="I141" s="136" t="s">
        <v>79</v>
      </c>
      <c r="J141" s="199"/>
      <c r="K141" s="199"/>
      <c r="L141" s="193"/>
      <c r="M141" s="193"/>
      <c r="N141" s="312"/>
      <c r="O141" s="147"/>
      <c r="P141" s="2"/>
    </row>
    <row r="142" spans="1:22" ht="21" customHeight="1" x14ac:dyDescent="0.25">
      <c r="A142" s="63"/>
      <c r="B142" s="64"/>
      <c r="C142" s="63"/>
      <c r="D142" s="63"/>
      <c r="E142" s="63"/>
      <c r="F142" s="63"/>
      <c r="G142" s="63"/>
      <c r="H142" s="63"/>
      <c r="I142" s="63"/>
      <c r="J142" s="63"/>
      <c r="K142" s="63"/>
      <c r="L142" s="65"/>
      <c r="M142" s="65"/>
      <c r="N142" s="66"/>
      <c r="O142" s="147"/>
    </row>
    <row r="143" spans="1:22" ht="21" customHeight="1" x14ac:dyDescent="0.25">
      <c r="A143" s="172" t="s">
        <v>100</v>
      </c>
      <c r="B143" s="172"/>
      <c r="C143" s="172"/>
      <c r="D143" s="172"/>
      <c r="E143" s="172"/>
      <c r="F143" s="172"/>
      <c r="G143" s="172"/>
      <c r="H143" s="172"/>
      <c r="I143" s="172"/>
      <c r="J143" s="172"/>
      <c r="K143" s="172"/>
      <c r="L143" s="172"/>
      <c r="M143" s="172"/>
      <c r="N143" s="172"/>
      <c r="O143" s="147"/>
    </row>
    <row r="144" spans="1:22" ht="21" customHeight="1" x14ac:dyDescent="0.25">
      <c r="A144" s="77" t="s">
        <v>101</v>
      </c>
      <c r="B144" s="173" t="s">
        <v>102</v>
      </c>
      <c r="C144" s="173"/>
      <c r="D144" s="173"/>
      <c r="E144" s="173"/>
      <c r="F144" s="173"/>
      <c r="G144" s="173"/>
      <c r="H144" s="173"/>
      <c r="I144" s="173"/>
      <c r="J144" s="173"/>
      <c r="K144" s="173"/>
      <c r="L144" s="173"/>
      <c r="M144" s="173"/>
      <c r="N144" s="173"/>
      <c r="O144" s="147"/>
    </row>
    <row r="145" spans="1:15" ht="21" customHeight="1" x14ac:dyDescent="0.25">
      <c r="A145" s="78"/>
      <c r="B145" s="174" t="s">
        <v>201</v>
      </c>
      <c r="C145" s="174"/>
      <c r="D145" s="174"/>
      <c r="E145" s="174"/>
      <c r="F145" s="174"/>
      <c r="G145" s="174"/>
      <c r="H145" s="174"/>
      <c r="I145" s="174"/>
      <c r="J145" s="174"/>
      <c r="K145" s="174"/>
      <c r="L145" s="174"/>
      <c r="M145" s="174"/>
      <c r="N145" s="174"/>
      <c r="O145" s="147"/>
    </row>
    <row r="146" spans="1:15" ht="21" customHeight="1" x14ac:dyDescent="0.25">
      <c r="A146" s="78"/>
      <c r="B146" s="174" t="s">
        <v>202</v>
      </c>
      <c r="C146" s="174"/>
      <c r="D146" s="174"/>
      <c r="E146" s="174"/>
      <c r="F146" s="174"/>
      <c r="G146" s="174"/>
      <c r="H146" s="174"/>
      <c r="I146" s="174"/>
      <c r="J146" s="174"/>
      <c r="K146" s="174"/>
      <c r="L146" s="174"/>
      <c r="M146" s="174"/>
      <c r="N146" s="174"/>
      <c r="O146" s="147"/>
    </row>
    <row r="147" spans="1:15" ht="21" customHeight="1" x14ac:dyDescent="0.25">
      <c r="A147" s="78"/>
      <c r="B147" s="174" t="s">
        <v>203</v>
      </c>
      <c r="C147" s="174"/>
      <c r="D147" s="174"/>
      <c r="E147" s="174"/>
      <c r="F147" s="174"/>
      <c r="G147" s="174"/>
      <c r="H147" s="174"/>
      <c r="I147" s="174"/>
      <c r="J147" s="174"/>
      <c r="K147" s="174"/>
      <c r="L147" s="174"/>
      <c r="M147" s="174"/>
      <c r="N147" s="174"/>
      <c r="O147" s="147"/>
    </row>
    <row r="148" spans="1:15" ht="21" customHeight="1" x14ac:dyDescent="0.25">
      <c r="A148" s="63"/>
      <c r="B148" s="175" t="s">
        <v>109</v>
      </c>
      <c r="C148" s="175"/>
      <c r="D148" s="175"/>
      <c r="E148" s="175"/>
      <c r="F148" s="175"/>
      <c r="G148" s="175"/>
      <c r="H148" s="175"/>
      <c r="I148" s="175"/>
      <c r="J148" s="175"/>
      <c r="K148" s="175"/>
      <c r="L148" s="175"/>
      <c r="M148" s="175"/>
      <c r="N148" s="175"/>
      <c r="O148" s="147"/>
    </row>
    <row r="149" spans="1:15" ht="21" customHeight="1" x14ac:dyDescent="0.25">
      <c r="A149" s="63"/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79"/>
      <c r="M149" s="79"/>
      <c r="N149" s="80"/>
      <c r="O149" s="147"/>
    </row>
    <row r="150" spans="1:15" ht="21" customHeight="1" x14ac:dyDescent="0.25">
      <c r="A150" s="168" t="s">
        <v>60</v>
      </c>
      <c r="B150" s="168"/>
      <c r="C150" s="168"/>
      <c r="D150" s="168"/>
      <c r="E150" s="148"/>
      <c r="F150" s="148"/>
      <c r="G150" s="148"/>
      <c r="H150" s="148"/>
      <c r="I150" s="148"/>
      <c r="J150" s="169" t="s">
        <v>36</v>
      </c>
      <c r="K150" s="169"/>
      <c r="L150" s="169"/>
      <c r="M150" s="169"/>
      <c r="N150" s="169"/>
      <c r="O150" s="147"/>
    </row>
    <row r="151" spans="1:15" ht="21" customHeight="1" x14ac:dyDescent="0.25">
      <c r="A151" s="132"/>
      <c r="B151" s="132"/>
      <c r="C151" s="132"/>
      <c r="D151" s="148"/>
      <c r="E151" s="148"/>
      <c r="F151" s="148"/>
      <c r="G151" s="148"/>
      <c r="H151" s="149"/>
      <c r="I151" s="149"/>
      <c r="J151" s="149"/>
      <c r="K151" s="149"/>
      <c r="L151" s="149"/>
      <c r="M151" s="149"/>
      <c r="N151" s="149"/>
      <c r="O151" s="147"/>
    </row>
    <row r="152" spans="1:15" ht="21" customHeight="1" x14ac:dyDescent="0.25">
      <c r="A152" s="132"/>
      <c r="B152" s="132"/>
      <c r="C152" s="132"/>
      <c r="D152" s="148"/>
      <c r="E152" s="148"/>
      <c r="F152" s="148"/>
      <c r="G152" s="148"/>
      <c r="H152" s="149"/>
      <c r="I152" s="149"/>
      <c r="J152" s="149"/>
      <c r="K152" s="149"/>
      <c r="L152" s="149"/>
      <c r="M152" s="149"/>
      <c r="N152" s="149"/>
      <c r="O152" s="147"/>
    </row>
    <row r="153" spans="1:15" ht="21" customHeight="1" x14ac:dyDescent="0.25">
      <c r="A153" s="132"/>
      <c r="B153" s="132"/>
      <c r="C153" s="132"/>
      <c r="D153" s="148"/>
      <c r="E153" s="148"/>
      <c r="F153" s="148"/>
      <c r="G153" s="148"/>
      <c r="H153" s="149"/>
      <c r="I153" s="149"/>
      <c r="J153" s="170" t="s">
        <v>103</v>
      </c>
      <c r="K153" s="170"/>
      <c r="L153" s="170"/>
      <c r="M153" s="170"/>
      <c r="N153" s="170"/>
      <c r="O153" s="147"/>
    </row>
    <row r="154" spans="1:15" ht="21" customHeight="1" x14ac:dyDescent="0.25">
      <c r="A154" s="171" t="s">
        <v>84</v>
      </c>
      <c r="B154" s="171"/>
      <c r="C154" s="171"/>
      <c r="D154" s="171"/>
      <c r="E154" s="148"/>
      <c r="F154" s="148"/>
      <c r="G154" s="148"/>
      <c r="H154" s="149"/>
      <c r="I154" s="149"/>
      <c r="O154" s="147"/>
    </row>
    <row r="155" spans="1:15" ht="21" customHeight="1" x14ac:dyDescent="0.25">
      <c r="J155" s="149"/>
      <c r="K155" s="149"/>
      <c r="L155" s="149"/>
      <c r="M155" s="149"/>
      <c r="N155" s="149"/>
    </row>
    <row r="156" spans="1:15" ht="21" customHeight="1" x14ac:dyDescent="0.25">
      <c r="J156" s="170" t="s">
        <v>114</v>
      </c>
      <c r="K156" s="170"/>
      <c r="L156" s="170"/>
      <c r="M156" s="170"/>
      <c r="N156" s="170"/>
    </row>
  </sheetData>
  <mergeCells count="201">
    <mergeCell ref="A57:B58"/>
    <mergeCell ref="G43:H44"/>
    <mergeCell ref="I43:I46"/>
    <mergeCell ref="J43:J46"/>
    <mergeCell ref="K43:K46"/>
    <mergeCell ref="E85:I85"/>
    <mergeCell ref="J85:N85"/>
    <mergeCell ref="I53:I54"/>
    <mergeCell ref="E57:F57"/>
    <mergeCell ref="G57:H57"/>
    <mergeCell ref="M43:M46"/>
    <mergeCell ref="L43:L46"/>
    <mergeCell ref="K51:K52"/>
    <mergeCell ref="E58:F58"/>
    <mergeCell ref="G58:H58"/>
    <mergeCell ref="H45:H46"/>
    <mergeCell ref="J56:J58"/>
    <mergeCell ref="K56:K58"/>
    <mergeCell ref="N47:N48"/>
    <mergeCell ref="E54:F54"/>
    <mergeCell ref="G54:H54"/>
    <mergeCell ref="A51:B52"/>
    <mergeCell ref="C51:C52"/>
    <mergeCell ref="D51:D52"/>
    <mergeCell ref="I90:I93"/>
    <mergeCell ref="L90:L93"/>
    <mergeCell ref="L134:L141"/>
    <mergeCell ref="I11:I14"/>
    <mergeCell ref="J51:J52"/>
    <mergeCell ref="A89:B89"/>
    <mergeCell ref="C89:D89"/>
    <mergeCell ref="N28:N29"/>
    <mergeCell ref="A30:B31"/>
    <mergeCell ref="A32:B32"/>
    <mergeCell ref="I51:I52"/>
    <mergeCell ref="E52:F52"/>
    <mergeCell ref="G52:H52"/>
    <mergeCell ref="L51:L58"/>
    <mergeCell ref="M51:M58"/>
    <mergeCell ref="N51:N58"/>
    <mergeCell ref="A61:N61"/>
    <mergeCell ref="B62:N62"/>
    <mergeCell ref="C57:D57"/>
    <mergeCell ref="E56:F56"/>
    <mergeCell ref="G56:H56"/>
    <mergeCell ref="A43:A46"/>
    <mergeCell ref="C43:C46"/>
    <mergeCell ref="A88:D88"/>
    <mergeCell ref="B43:B46"/>
    <mergeCell ref="D43:D46"/>
    <mergeCell ref="E43:F44"/>
    <mergeCell ref="A49:B50"/>
    <mergeCell ref="S137:T137"/>
    <mergeCell ref="Q138:R138"/>
    <mergeCell ref="S138:T138"/>
    <mergeCell ref="A136:C137"/>
    <mergeCell ref="A138:C138"/>
    <mergeCell ref="C134:C135"/>
    <mergeCell ref="D134:D135"/>
    <mergeCell ref="B90:B93"/>
    <mergeCell ref="C90:C93"/>
    <mergeCell ref="A108:B109"/>
    <mergeCell ref="A132:B133"/>
    <mergeCell ref="A90:A93"/>
    <mergeCell ref="I134:I135"/>
    <mergeCell ref="E138:F138"/>
    <mergeCell ref="G138:H138"/>
    <mergeCell ref="A94:N94"/>
    <mergeCell ref="Q137:R137"/>
    <mergeCell ref="J134:J135"/>
    <mergeCell ref="E135:F135"/>
    <mergeCell ref="G135:H135"/>
    <mergeCell ref="E5:N5"/>
    <mergeCell ref="A6:D6"/>
    <mergeCell ref="E6:I9"/>
    <mergeCell ref="E11:F12"/>
    <mergeCell ref="G11:H12"/>
    <mergeCell ref="A11:A14"/>
    <mergeCell ref="B11:B14"/>
    <mergeCell ref="C11:C14"/>
    <mergeCell ref="D11:D14"/>
    <mergeCell ref="F1:N1"/>
    <mergeCell ref="F82:N82"/>
    <mergeCell ref="A56:C56"/>
    <mergeCell ref="J6:N9"/>
    <mergeCell ref="A7:D7"/>
    <mergeCell ref="A9:D9"/>
    <mergeCell ref="E13:E14"/>
    <mergeCell ref="F13:F14"/>
    <mergeCell ref="G13:G14"/>
    <mergeCell ref="H13:H14"/>
    <mergeCell ref="J11:J14"/>
    <mergeCell ref="K11:K14"/>
    <mergeCell ref="M11:M14"/>
    <mergeCell ref="A10:B10"/>
    <mergeCell ref="C10:D10"/>
    <mergeCell ref="A15:N15"/>
    <mergeCell ref="A8:D8"/>
    <mergeCell ref="L11:L14"/>
    <mergeCell ref="N11:N14"/>
    <mergeCell ref="N43:N46"/>
    <mergeCell ref="E45:E46"/>
    <mergeCell ref="F45:F46"/>
    <mergeCell ref="G45:G46"/>
    <mergeCell ref="A5:D5"/>
    <mergeCell ref="U54:V54"/>
    <mergeCell ref="U55:V55"/>
    <mergeCell ref="N130:N131"/>
    <mergeCell ref="B63:N63"/>
    <mergeCell ref="B64:N64"/>
    <mergeCell ref="B65:N65"/>
    <mergeCell ref="B66:N66"/>
    <mergeCell ref="A124:B124"/>
    <mergeCell ref="A126:A129"/>
    <mergeCell ref="B126:B129"/>
    <mergeCell ref="E55:F55"/>
    <mergeCell ref="G55:H55"/>
    <mergeCell ref="J53:J54"/>
    <mergeCell ref="A53:C54"/>
    <mergeCell ref="A55:C55"/>
    <mergeCell ref="A68:D68"/>
    <mergeCell ref="A86:D86"/>
    <mergeCell ref="Q54:R54"/>
    <mergeCell ref="S54:T54"/>
    <mergeCell ref="E128:E129"/>
    <mergeCell ref="F128:F129"/>
    <mergeCell ref="G128:G129"/>
    <mergeCell ref="H128:H129"/>
    <mergeCell ref="E126:F127"/>
    <mergeCell ref="U137:V137"/>
    <mergeCell ref="U138:V138"/>
    <mergeCell ref="A59:N59"/>
    <mergeCell ref="K53:K54"/>
    <mergeCell ref="N90:N93"/>
    <mergeCell ref="E92:E93"/>
    <mergeCell ref="F92:F93"/>
    <mergeCell ref="G92:G93"/>
    <mergeCell ref="H92:H93"/>
    <mergeCell ref="J90:J93"/>
    <mergeCell ref="K90:K93"/>
    <mergeCell ref="M90:M93"/>
    <mergeCell ref="D90:D93"/>
    <mergeCell ref="E90:F91"/>
    <mergeCell ref="G90:H91"/>
    <mergeCell ref="A110:B110"/>
    <mergeCell ref="M134:M141"/>
    <mergeCell ref="I136:I137"/>
    <mergeCell ref="E137:F137"/>
    <mergeCell ref="L126:L129"/>
    <mergeCell ref="M126:M129"/>
    <mergeCell ref="K134:K135"/>
    <mergeCell ref="J136:J137"/>
    <mergeCell ref="K136:K137"/>
    <mergeCell ref="J153:N153"/>
    <mergeCell ref="J156:N156"/>
    <mergeCell ref="A150:D150"/>
    <mergeCell ref="J150:N150"/>
    <mergeCell ref="A154:D154"/>
    <mergeCell ref="Q55:R55"/>
    <mergeCell ref="S55:T55"/>
    <mergeCell ref="C58:D58"/>
    <mergeCell ref="C126:C129"/>
    <mergeCell ref="D126:D129"/>
    <mergeCell ref="G126:H127"/>
    <mergeCell ref="I126:I129"/>
    <mergeCell ref="J126:J129"/>
    <mergeCell ref="K126:K129"/>
    <mergeCell ref="A140:B141"/>
    <mergeCell ref="C140:D140"/>
    <mergeCell ref="E140:F140"/>
    <mergeCell ref="G140:H140"/>
    <mergeCell ref="C141:D141"/>
    <mergeCell ref="E141:F141"/>
    <mergeCell ref="G137:H137"/>
    <mergeCell ref="N134:N141"/>
    <mergeCell ref="K139:K141"/>
    <mergeCell ref="N126:N129"/>
    <mergeCell ref="J68:N68"/>
    <mergeCell ref="A72:D72"/>
    <mergeCell ref="J74:N74"/>
    <mergeCell ref="A143:N143"/>
    <mergeCell ref="B144:N144"/>
    <mergeCell ref="B145:N145"/>
    <mergeCell ref="B146:N146"/>
    <mergeCell ref="B147:N147"/>
    <mergeCell ref="B148:N148"/>
    <mergeCell ref="N106:N107"/>
    <mergeCell ref="A139:C139"/>
    <mergeCell ref="E139:F139"/>
    <mergeCell ref="G139:H139"/>
    <mergeCell ref="J139:J141"/>
    <mergeCell ref="G141:H141"/>
    <mergeCell ref="N120:N121"/>
    <mergeCell ref="A122:B123"/>
    <mergeCell ref="J86:N88"/>
    <mergeCell ref="A87:D87"/>
    <mergeCell ref="J71:N71"/>
    <mergeCell ref="A134:B135"/>
    <mergeCell ref="E86:I88"/>
    <mergeCell ref="A84:D85"/>
    <mergeCell ref="E84:N84"/>
  </mergeCells>
  <pageMargins left="0.23333333333333334" right="0.17708333333333334" top="0.4375" bottom="0.36458333333333331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T2-T2</vt:lpstr>
      <vt:lpstr>T3-T2</vt:lpstr>
      <vt:lpstr>T4-T2</vt:lpstr>
      <vt:lpstr>T5-T2</vt:lpstr>
      <vt:lpstr>T6-T2</vt:lpstr>
      <vt:lpstr>T7-T2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HTC</dc:creator>
  <cp:lastModifiedBy>DELL</cp:lastModifiedBy>
  <cp:lastPrinted>2026-01-10T08:59:08Z</cp:lastPrinted>
  <dcterms:created xsi:type="dcterms:W3CDTF">2015-10-28T22:11:29Z</dcterms:created>
  <dcterms:modified xsi:type="dcterms:W3CDTF">2026-01-23T01:41:09Z</dcterms:modified>
</cp:coreProperties>
</file>